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Michael\Documents\Expectations Investing 2.0\Charts\"/>
    </mc:Choice>
  </mc:AlternateContent>
  <xr:revisionPtr revIDLastSave="0" documentId="13_ncr:1_{13B5CACD-4572-4D28-BD6E-2FF1356BE361}" xr6:coauthVersionLast="47" xr6:coauthVersionMax="47" xr10:uidLastSave="{00000000-0000-0000-0000-000000000000}"/>
  <bookViews>
    <workbookView xWindow="-120" yWindow="-120" windowWidth="29040" windowHeight="17640" activeTab="2" xr2:uid="{00000000-000D-0000-FFFF-FFFF00000000}"/>
  </bookViews>
  <sheets>
    <sheet name="Inputs" sheetId="2" r:id="rId1"/>
    <sheet name="Tutorial 4" sheetId="6" r:id="rId2"/>
    <sheet name="Working Capital Analysis" sheetId="4" r:id="rId3"/>
    <sheet name="Cash Conversion Cycle" sheetId="5" r:id="rId4"/>
  </sheets>
  <definedNames>
    <definedName name="_xlnm.Print_Area" localSheetId="3">'Cash Conversion Cycle'!$B$16:$I$22</definedName>
    <definedName name="_xlnm.Print_Area" localSheetId="0">Inputs!$B$2:$I$24</definedName>
    <definedName name="_xlnm.Print_Area" localSheetId="2">'Working Capital Analysis'!$B$2:$I$31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2" i="6" l="1"/>
  <c r="G72" i="6"/>
  <c r="F72" i="6"/>
  <c r="E72" i="6"/>
  <c r="D72" i="6"/>
  <c r="C72" i="6"/>
  <c r="H71" i="6"/>
  <c r="G71" i="6"/>
  <c r="F71" i="6"/>
  <c r="E71" i="6"/>
  <c r="D71" i="6"/>
  <c r="C71" i="6"/>
  <c r="H70" i="6"/>
  <c r="H73" i="6" s="1"/>
  <c r="G70" i="6"/>
  <c r="G73" i="6" s="1"/>
  <c r="F70" i="6"/>
  <c r="F73" i="6" s="1"/>
  <c r="E70" i="6"/>
  <c r="E73" i="6" s="1"/>
  <c r="D70" i="6"/>
  <c r="C70" i="6"/>
  <c r="C73" i="6" s="1"/>
  <c r="H69" i="6"/>
  <c r="G69" i="6"/>
  <c r="F69" i="6"/>
  <c r="E69" i="6"/>
  <c r="D69" i="6"/>
  <c r="C69" i="6"/>
  <c r="H74" i="6" l="1"/>
  <c r="D73" i="6"/>
  <c r="I14" i="4" l="1"/>
  <c r="C14" i="4"/>
  <c r="D14" i="4"/>
  <c r="E14" i="4"/>
  <c r="F14" i="4"/>
  <c r="D61" i="6" s="1"/>
  <c r="G14" i="4"/>
  <c r="H14" i="4"/>
  <c r="D68" i="6"/>
  <c r="E68" i="6" s="1"/>
  <c r="F68" i="6" s="1"/>
  <c r="G68" i="6" s="1"/>
  <c r="H68" i="6" s="1"/>
  <c r="G61" i="6"/>
  <c r="F61" i="6"/>
  <c r="E61" i="6"/>
  <c r="G60" i="6"/>
  <c r="F60" i="6"/>
  <c r="E60" i="6"/>
  <c r="D60" i="6"/>
  <c r="G59" i="6"/>
  <c r="F59" i="6"/>
  <c r="E59" i="6"/>
  <c r="D59" i="6"/>
  <c r="G58" i="6"/>
  <c r="F58" i="6"/>
  <c r="E58" i="6"/>
  <c r="D58" i="6"/>
  <c r="C61" i="6"/>
  <c r="C60" i="6"/>
  <c r="C59" i="6"/>
  <c r="C58" i="6"/>
  <c r="G56" i="6"/>
  <c r="F56" i="6"/>
  <c r="E56" i="6"/>
  <c r="D56" i="6"/>
  <c r="G55" i="6"/>
  <c r="F55" i="6"/>
  <c r="E55" i="6"/>
  <c r="D55" i="6"/>
  <c r="G54" i="6"/>
  <c r="F54" i="6"/>
  <c r="E54" i="6"/>
  <c r="D54" i="6"/>
  <c r="G53" i="6"/>
  <c r="G57" i="6" s="1"/>
  <c r="F53" i="6"/>
  <c r="F57" i="6" s="1"/>
  <c r="E53" i="6"/>
  <c r="E57" i="6" s="1"/>
  <c r="D53" i="6"/>
  <c r="D57" i="6" s="1"/>
  <c r="C56" i="6"/>
  <c r="C55" i="6"/>
  <c r="C54" i="6"/>
  <c r="C53" i="6"/>
  <c r="D52" i="6"/>
  <c r="E52" i="6" s="1"/>
  <c r="F52" i="6" s="1"/>
  <c r="G52" i="6" s="1"/>
  <c r="H44" i="6"/>
  <c r="G44" i="6"/>
  <c r="F44" i="6"/>
  <c r="E44" i="6"/>
  <c r="D44" i="6"/>
  <c r="C44" i="6"/>
  <c r="H38" i="6"/>
  <c r="G38" i="6"/>
  <c r="F38" i="6"/>
  <c r="E38" i="6"/>
  <c r="D38" i="6"/>
  <c r="C38" i="6"/>
  <c r="D31" i="6"/>
  <c r="E31" i="6" s="1"/>
  <c r="F31" i="6" s="1"/>
  <c r="G31" i="6" s="1"/>
  <c r="H31" i="6" s="1"/>
  <c r="C5" i="4"/>
  <c r="D22" i="4"/>
  <c r="E22" i="4" s="1"/>
  <c r="F22" i="4" s="1"/>
  <c r="G22" i="4" s="1"/>
  <c r="H22" i="4" s="1"/>
  <c r="I22" i="4" s="1"/>
  <c r="E4" i="4"/>
  <c r="F4" i="4" s="1"/>
  <c r="G4" i="4" s="1"/>
  <c r="H4" i="4" s="1"/>
  <c r="I4" i="4" s="1"/>
  <c r="D4" i="4"/>
  <c r="D18" i="5"/>
  <c r="E18" i="5" s="1"/>
  <c r="F18" i="5" s="1"/>
  <c r="G18" i="5" s="1"/>
  <c r="H18" i="5" s="1"/>
  <c r="C57" i="6" l="1"/>
  <c r="C62" i="6"/>
  <c r="C63" i="6" s="1"/>
  <c r="G62" i="6"/>
  <c r="G63" i="6" s="1"/>
  <c r="F62" i="6"/>
  <c r="F63" i="6" s="1"/>
  <c r="D62" i="6"/>
  <c r="D63" i="6" s="1"/>
  <c r="E62" i="6"/>
  <c r="E63" i="6" s="1"/>
  <c r="D11" i="2" l="1"/>
  <c r="E11" i="2" s="1"/>
  <c r="F11" i="2" s="1"/>
  <c r="G11" i="2" s="1"/>
  <c r="H11" i="2" s="1"/>
  <c r="I11" i="2" s="1"/>
  <c r="E4" i="2"/>
  <c r="F4" i="2" s="1"/>
  <c r="G4" i="2" s="1"/>
  <c r="H4" i="2" s="1"/>
  <c r="I4" i="2" s="1"/>
  <c r="D4" i="2"/>
  <c r="C19" i="5"/>
  <c r="D19" i="5"/>
  <c r="E19" i="5"/>
  <c r="F19" i="5"/>
  <c r="G19" i="5"/>
  <c r="H19" i="5"/>
  <c r="C20" i="5"/>
  <c r="D20" i="5"/>
  <c r="E20" i="5"/>
  <c r="F20" i="5"/>
  <c r="G20" i="5"/>
  <c r="H20" i="5"/>
  <c r="C21" i="5"/>
  <c r="D21" i="5"/>
  <c r="E21" i="5"/>
  <c r="F21" i="5"/>
  <c r="G21" i="5"/>
  <c r="H21" i="5"/>
  <c r="D8" i="4"/>
  <c r="D5" i="4"/>
  <c r="E5" i="4"/>
  <c r="F5" i="4"/>
  <c r="G5" i="4"/>
  <c r="H5" i="4"/>
  <c r="I5" i="4"/>
  <c r="C6" i="4"/>
  <c r="D6" i="4"/>
  <c r="E6" i="4"/>
  <c r="F6" i="4"/>
  <c r="G6" i="4"/>
  <c r="G9" i="4" s="1"/>
  <c r="H6" i="4"/>
  <c r="I6" i="4"/>
  <c r="C7" i="4"/>
  <c r="D7" i="4"/>
  <c r="E7" i="4"/>
  <c r="F7" i="4"/>
  <c r="G7" i="4"/>
  <c r="H7" i="4"/>
  <c r="I7" i="4"/>
  <c r="C8" i="4"/>
  <c r="E8" i="4"/>
  <c r="F8" i="4"/>
  <c r="G8" i="4"/>
  <c r="H8" i="4"/>
  <c r="I8" i="4"/>
  <c r="H9" i="4"/>
  <c r="B11" i="4"/>
  <c r="C11" i="4"/>
  <c r="D11" i="4"/>
  <c r="E11" i="4"/>
  <c r="F11" i="4"/>
  <c r="G11" i="4"/>
  <c r="H11" i="4"/>
  <c r="I11" i="4"/>
  <c r="B12" i="4"/>
  <c r="C12" i="4"/>
  <c r="D12" i="4"/>
  <c r="E12" i="4"/>
  <c r="F12" i="4"/>
  <c r="G12" i="4"/>
  <c r="H12" i="4"/>
  <c r="I12" i="4"/>
  <c r="B13" i="4"/>
  <c r="C13" i="4"/>
  <c r="D13" i="4"/>
  <c r="E13" i="4"/>
  <c r="F13" i="4"/>
  <c r="G13" i="4"/>
  <c r="H13" i="4"/>
  <c r="I13" i="4"/>
  <c r="B14" i="4"/>
  <c r="E15" i="4"/>
  <c r="I15" i="4"/>
  <c r="C26" i="4"/>
  <c r="D26" i="4"/>
  <c r="D27" i="4" s="1"/>
  <c r="E26" i="4"/>
  <c r="F26" i="4"/>
  <c r="G27" i="4" s="1"/>
  <c r="G26" i="4"/>
  <c r="H26" i="4"/>
  <c r="H27" i="4" s="1"/>
  <c r="I26" i="4"/>
  <c r="F27" i="4"/>
  <c r="E22" i="5" l="1"/>
  <c r="H15" i="4"/>
  <c r="H17" i="4" s="1"/>
  <c r="H23" i="4" s="1"/>
  <c r="D15" i="4"/>
  <c r="G15" i="4"/>
  <c r="G17" i="4" s="1"/>
  <c r="G23" i="4" s="1"/>
  <c r="F15" i="4"/>
  <c r="F17" i="4" s="1"/>
  <c r="F23" i="4" s="1"/>
  <c r="C15" i="4"/>
  <c r="F9" i="4"/>
  <c r="I9" i="4"/>
  <c r="I17" i="4" s="1"/>
  <c r="I23" i="4" s="1"/>
  <c r="C9" i="4"/>
  <c r="E9" i="4"/>
  <c r="E17" i="4" s="1"/>
  <c r="E23" i="4" s="1"/>
  <c r="H22" i="5"/>
  <c r="D22" i="5"/>
  <c r="G22" i="5"/>
  <c r="C22" i="5"/>
  <c r="F22" i="5"/>
  <c r="D9" i="4"/>
  <c r="I27" i="4"/>
  <c r="E27" i="4"/>
  <c r="D17" i="4" l="1"/>
  <c r="D23" i="4" s="1"/>
  <c r="E24" i="4" s="1"/>
  <c r="E29" i="4" s="1"/>
  <c r="C17" i="4"/>
  <c r="C23" i="4" s="1"/>
  <c r="D24" i="4" s="1"/>
  <c r="D29" i="4" s="1"/>
  <c r="H24" i="4"/>
  <c r="H29" i="4" s="1"/>
  <c r="F24" i="4"/>
  <c r="F29" i="4" s="1"/>
  <c r="I24" i="4"/>
  <c r="I29" i="4" s="1"/>
  <c r="G24" i="4"/>
  <c r="G29" i="4" s="1"/>
  <c r="I31" i="4" l="1"/>
</calcChain>
</file>

<file path=xl/sharedStrings.xml><?xml version="1.0" encoding="utf-8"?>
<sst xmlns="http://schemas.openxmlformats.org/spreadsheetml/2006/main" count="95" uniqueCount="75">
  <si>
    <t>Cost of sales</t>
  </si>
  <si>
    <t>A/R</t>
  </si>
  <si>
    <t>Inventory</t>
  </si>
  <si>
    <t>Net working capital</t>
  </si>
  <si>
    <t>Accounts receivable</t>
  </si>
  <si>
    <t>Inventories</t>
  </si>
  <si>
    <t>Other current assets</t>
  </si>
  <si>
    <t>Deferred income taxes</t>
  </si>
  <si>
    <t>Accounts payable</t>
  </si>
  <si>
    <t>Accrued expenses</t>
  </si>
  <si>
    <t>Accrued royalties</t>
  </si>
  <si>
    <t>Other accrued liabilities</t>
  </si>
  <si>
    <t>less: Days payable outstanding</t>
  </si>
  <si>
    <t>Cash conversion cycle</t>
  </si>
  <si>
    <t>Current Assets:</t>
  </si>
  <si>
    <t>Non-Interest Bearing Current Liabilities:</t>
  </si>
  <si>
    <t>Required cash (2% of sales)</t>
  </si>
  <si>
    <t>Current operating assets</t>
  </si>
  <si>
    <t>Current operating liabilities</t>
  </si>
  <si>
    <t>add: Days sales outstanding</t>
  </si>
  <si>
    <t>add: Days in inventory</t>
  </si>
  <si>
    <t>Incremental working capital</t>
  </si>
  <si>
    <t>Incremental working capital (% of sales)</t>
  </si>
  <si>
    <t>Incremental working capital over last 5 years (%)</t>
  </si>
  <si>
    <t>Working Capital Analysis</t>
  </si>
  <si>
    <t>Inputs From Income Statement:</t>
  </si>
  <si>
    <t>Inputs From Balance Sheet:</t>
  </si>
  <si>
    <t>For any year, then, we add and subtract the following to calculate a company's net working capital:</t>
  </si>
  <si>
    <t>   Cash</t>
  </si>
  <si>
    <t>   Short-term investments</t>
  </si>
  <si>
    <t>   Accounts receivable</t>
  </si>
  <si>
    <t>   Inventories</t>
  </si>
  <si>
    <t>   Other current assets</t>
  </si>
  <si>
    <r>
      <t xml:space="preserve">   </t>
    </r>
    <r>
      <rPr>
        <u/>
        <sz val="10"/>
        <rFont val="Arial"/>
        <family val="2"/>
      </rPr>
      <t>Deferred income taxes</t>
    </r>
  </si>
  <si>
    <t>Current assets</t>
  </si>
  <si>
    <t>   Accounts payable</t>
  </si>
  <si>
    <t>   Accrued expenses</t>
  </si>
  <si>
    <r>
      <t xml:space="preserve">   </t>
    </r>
    <r>
      <rPr>
        <u/>
        <sz val="10"/>
        <rFont val="Arial"/>
        <family val="2"/>
      </rPr>
      <t>Other accrued liabilities</t>
    </r>
  </si>
  <si>
    <t>Current liabilities</t>
  </si>
  <si>
    <t>We do this in the table below:</t>
  </si>
  <si>
    <t>The three components of the cash conversion cycle are as follows:</t>
  </si>
  <si>
    <t xml:space="preserve">Required cash. We usually assume that a company needs to have some cash on hand to run its business. We can estimate that sum as a fixed amount of cash, or an amount as a percentage of sales. Thus, we add required cash to calculate working capital. </t>
  </si>
  <si>
    <t xml:space="preserve">Other current assets. A company may have to tie up cash in other current assets, such as insurance pre-payments. Thus, we add other current assets to calculate working capital. </t>
  </si>
  <si>
    <t xml:space="preserve"> </t>
  </si>
  <si>
    <t>1. Days sales outstanding (DSO). The number of days between the sale of a product and the receipt of a cash payment. The formula is: DSO = Days in year (360) / (Sales / Average accounts receivable).</t>
  </si>
  <si>
    <t>2. Days in inventory (DII). The number of days it takes for a company to convert its raw material, work-in-progress and finished goods inventory into product sales. The formula is: DII = Days in year (360) / (Cost of goods sold / Average inventory).</t>
  </si>
  <si>
    <t xml:space="preserve">3. Days payables outstanding (DPO). The number of days between the purchase of an input from a vendor and cash payment to that vendor. The formula is: DPO = Days in year (360) / (Cost of goods sold / Average accounts payable). </t>
  </si>
  <si>
    <t>Total revenue</t>
  </si>
  <si>
    <t>Advertising fund liabilities</t>
  </si>
  <si>
    <t>Cash</t>
  </si>
  <si>
    <t xml:space="preserve">Online Tutorial #4: How Do You Calculate A Company's Incremental Net Working Capital Needs? </t>
  </si>
  <si>
    <t>What Does Net Working Capital Mean?</t>
  </si>
  <si>
    <t>To understand what we mean by net working capital, let's break this phrase down into its component parts:</t>
  </si>
  <si>
    <t xml:space="preserve">Net. This means we look at cash tied up in short-term operating assets such as accounts receivable and inventory, offset by non-interest bearing current liabilities such as accounts payable. </t>
  </si>
  <si>
    <t xml:space="preserve">Working. This means that we want to focus on cash tied up in short-term operating assets. Thus, working capital excludes long term capital required for, say, investment in property, plant, and equipment (PP&amp;E). </t>
  </si>
  <si>
    <t>Capital. This means that we want to calculate the amount of cash that a company has to tie up in working capital to run its business.</t>
  </si>
  <si>
    <t>More specifically, for industrial companies, net working capital equals cash tied up by a company's short term operating assets, netted against short term operating liabilities.</t>
  </si>
  <si>
    <t xml:space="preserve">Accounts receivable (A/R). Accounts receivable equals money owed to a company for goods or services purchased on credit. As A/R grow, then, a company needs to tie up cash in its business as it effectively lends this money out. Thus, we add accounts receivable to calculate working capital. </t>
  </si>
  <si>
    <t xml:space="preserve">Inventory. Any company selling a physical product will have to tie up cash in raw materials, work-in-progress, and finished goods inventory. Thus, we add inventory to calculate working capital. </t>
  </si>
  <si>
    <t xml:space="preserve">Accounts payable. Accounts payable are bills from suppliers for goods or services purchased on credit. A company benefits from accounts payable just like consumers benefit from a charge card: you enjoy the merchandise now, and pay later. Thus, we subtract accounts payable to calculate working capital. </t>
  </si>
  <si>
    <t xml:space="preserve">Case Study: Domino's Pizza as of September, 2020 </t>
  </si>
  <si>
    <t xml:space="preserve">To calculate Domino's net working capital, we first need to obtain the seven data points described above from the company's historical SEC filings. </t>
  </si>
  <si>
    <t>Current portion of long-tern debt</t>
  </si>
  <si>
    <t>Incremental revenue</t>
  </si>
  <si>
    <t>In cases where working capital tends to be more volatile or trend in a particular direction, an anlysis of the cash conversion cycle provides a useful way to think about, and project, working capital. The cash conversion cycle quantifies the time between cash payment to suppliers and cash receipt from customers.</t>
  </si>
  <si>
    <t>Cash Conversion Cycle</t>
  </si>
  <si>
    <t>Cash Conversion Cycle Analysis for Domino's Pizza</t>
  </si>
  <si>
    <t xml:space="preserve">We have used these balance sheets to assemble a table that excerpts the current assets and current liabilities portion of Domino's balance sheet (below). We highlight those items that directly enter into a calculation of net working capital: </t>
  </si>
  <si>
    <t>How Do You Project Future Incremental Working Capital (%)?</t>
  </si>
  <si>
    <t>In the case of Domino's, the company's relatively modest working capital needs leads us to anticipate that it won't be a major investment need. We project incremental working capital as a percentage of incremental sales to be approximately 15.0%, somewhat above the company's historical average.</t>
  </si>
  <si>
    <t>Other non-interest bearing current liabilities. Various companies may have assorted non-interest bearing current liabilities such as accrued wages, accrued expenses, accrued royalties, or other accrued liabilities. These non-interest bearing current liabilities generate cash as they increase. Thus, we subtract other non-interest bearing current liabilities to calculate working capital.</t>
  </si>
  <si>
    <t>After entering this data into the Inputs worksheet of the "Online Tutorial 4.xlsx" spreadsheet, we can calculate net working capital by adding the relevant current operating assets and subtracting the relevant current operating liabilities.</t>
  </si>
  <si>
    <r>
      <t xml:space="preserve">Incremental investment in net working capital is another important value driver in a calculation of shareholder value. This session focuses on where to find the data, how to calculate historical working capital trends and how to project future working capital needs. As with previous sessions, we will use Domino's Pizza as of September, 2020, as a case study. Readers who want to calculate working capital while reading this tutorial may wish to download the </t>
    </r>
    <r>
      <rPr>
        <sz val="9"/>
        <color rgb="FF0070C0"/>
        <rFont val="Arial"/>
        <family val="2"/>
      </rPr>
      <t>accompanying spreadsheet</t>
    </r>
    <r>
      <rPr>
        <sz val="9"/>
        <rFont val="Arial"/>
        <family val="2"/>
      </rPr>
      <t xml:space="preserve">. </t>
    </r>
  </si>
  <si>
    <t xml:space="preserve">The last step of the analysis calculates how much cash Domino's typically ties up in working capital to generate a dollar of new revenue. </t>
  </si>
  <si>
    <t xml:space="preserve">Note: in the book we do not consider other current assets, so the calculations are slightly different. The five-year average is 3.2% versus 0.5%.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</si>
</sst>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43" formatCode="_(* #,##0.00_);_(* \(#,##0.00\);_(* &quot;-&quot;??_);_(@_)"/>
    <numFmt numFmtId="164" formatCode="0.0%"/>
    <numFmt numFmtId="165" formatCode="0.0"/>
    <numFmt numFmtId="166" formatCode="_(* #,##0.0_);_(* \(#,##0.0\);_(* &quot;-&quot;??_);_(@_)"/>
    <numFmt numFmtId="167" formatCode="#,##0.0_);\(#,##0.0\)"/>
    <numFmt numFmtId="168" formatCode="#,##0.0"/>
    <numFmt numFmtId="169" formatCode="&quot;$&quot;#,##0.0"/>
  </numFmts>
  <fonts count="9" x14ac:knownFonts="1">
    <font>
      <sz val="10"/>
      <name val="Arial"/>
    </font>
    <font>
      <sz val="10"/>
      <name val="Arial"/>
    </font>
    <font>
      <sz val="10"/>
      <name val="Arial"/>
      <family val="2"/>
    </font>
    <font>
      <b/>
      <sz val="10"/>
      <name val="Arial"/>
      <family val="2"/>
    </font>
    <font>
      <u/>
      <sz val="10"/>
      <name val="Arial"/>
      <family val="2"/>
    </font>
    <font>
      <sz val="10"/>
      <color indexed="12"/>
      <name val="Arial"/>
      <family val="2"/>
    </font>
    <font>
      <sz val="8"/>
      <name val="Arial"/>
      <family val="2"/>
    </font>
    <font>
      <sz val="9"/>
      <name val="Arial"/>
      <family val="2"/>
    </font>
    <font>
      <sz val="9"/>
      <color rgb="FF0070C0"/>
      <name val="Arial"/>
      <family val="2"/>
    </font>
  </fonts>
  <fills count="4">
    <fill>
      <patternFill patternType="none"/>
    </fill>
    <fill>
      <patternFill patternType="gray125"/>
    </fill>
    <fill>
      <patternFill patternType="solid">
        <fgColor indexed="9"/>
        <bgColor indexed="64"/>
      </patternFill>
    </fill>
    <fill>
      <patternFill patternType="solid">
        <fgColor indexed="13"/>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47">
    <xf numFmtId="0" fontId="0" fillId="0" borderId="0" xfId="0"/>
    <xf numFmtId="0" fontId="0" fillId="0" borderId="0" xfId="0" applyBorder="1"/>
    <xf numFmtId="0" fontId="2" fillId="0" borderId="0" xfId="0" applyFont="1" applyFill="1" applyBorder="1"/>
    <xf numFmtId="0" fontId="2" fillId="0" borderId="0" xfId="0" applyFont="1" applyBorder="1"/>
    <xf numFmtId="0" fontId="3" fillId="0" borderId="0" xfId="0" applyFont="1" applyFill="1" applyBorder="1" applyAlignment="1" applyProtection="1">
      <alignment horizontal="left"/>
    </xf>
    <xf numFmtId="167" fontId="2" fillId="0" borderId="0" xfId="0" applyNumberFormat="1" applyFont="1" applyFill="1" applyBorder="1" applyProtection="1"/>
    <xf numFmtId="168" fontId="2" fillId="0" borderId="0" xfId="0" applyNumberFormat="1" applyFont="1" applyBorder="1" applyAlignment="1">
      <alignment horizontal="right"/>
    </xf>
    <xf numFmtId="0" fontId="3" fillId="0" borderId="0" xfId="0" applyFont="1" applyFill="1" applyBorder="1"/>
    <xf numFmtId="41" fontId="2" fillId="0" borderId="0" xfId="0" applyNumberFormat="1" applyFont="1" applyFill="1" applyBorder="1"/>
    <xf numFmtId="41" fontId="2" fillId="0" borderId="1" xfId="0" applyNumberFormat="1" applyFont="1" applyFill="1" applyBorder="1"/>
    <xf numFmtId="0" fontId="2" fillId="0" borderId="0" xfId="0" applyFont="1" applyFill="1" applyBorder="1" applyAlignment="1" applyProtection="1">
      <alignment horizontal="left"/>
    </xf>
    <xf numFmtId="167" fontId="5" fillId="0" borderId="0" xfId="0" applyNumberFormat="1" applyFont="1" applyFill="1" applyBorder="1" applyProtection="1"/>
    <xf numFmtId="0" fontId="3" fillId="0" borderId="0" xfId="0" applyFont="1" applyFill="1" applyBorder="1" applyAlignment="1" applyProtection="1">
      <alignment horizontal="right"/>
    </xf>
    <xf numFmtId="0" fontId="3" fillId="0" borderId="0" xfId="0" quotePrefix="1" applyFont="1" applyFill="1" applyBorder="1" applyAlignment="1" applyProtection="1">
      <alignment horizontal="right"/>
    </xf>
    <xf numFmtId="0" fontId="3" fillId="0" borderId="2" xfId="0" applyFont="1" applyFill="1" applyBorder="1" applyAlignment="1" applyProtection="1">
      <alignment horizontal="center"/>
    </xf>
    <xf numFmtId="167" fontId="5" fillId="0" borderId="6" xfId="0" applyNumberFormat="1" applyFont="1" applyFill="1" applyBorder="1" applyProtection="1"/>
    <xf numFmtId="167" fontId="5" fillId="0" borderId="1" xfId="0" applyNumberFormat="1" applyFont="1" applyFill="1" applyBorder="1" applyProtection="1"/>
    <xf numFmtId="167" fontId="5" fillId="0" borderId="7" xfId="0" applyNumberFormat="1" applyFont="1" applyFill="1" applyBorder="1" applyProtection="1"/>
    <xf numFmtId="0" fontId="3" fillId="0" borderId="3" xfId="0" applyFont="1" applyFill="1" applyBorder="1" applyAlignment="1" applyProtection="1">
      <alignment horizontal="right"/>
    </xf>
    <xf numFmtId="0" fontId="3" fillId="0" borderId="4" xfId="0" applyFont="1" applyFill="1" applyBorder="1" applyAlignment="1" applyProtection="1">
      <alignment horizontal="right"/>
    </xf>
    <xf numFmtId="0" fontId="3" fillId="0" borderId="4" xfId="0" quotePrefix="1" applyFont="1" applyFill="1" applyBorder="1" applyAlignment="1" applyProtection="1">
      <alignment horizontal="right"/>
    </xf>
    <xf numFmtId="0" fontId="3" fillId="0" borderId="5" xfId="0" applyFont="1" applyFill="1" applyBorder="1" applyAlignment="1" applyProtection="1">
      <alignment horizontal="right"/>
    </xf>
    <xf numFmtId="0" fontId="3" fillId="0" borderId="8" xfId="0" applyFont="1" applyFill="1" applyBorder="1" applyAlignment="1" applyProtection="1">
      <alignment horizontal="right"/>
    </xf>
    <xf numFmtId="0" fontId="3" fillId="0" borderId="9" xfId="0" applyFont="1" applyFill="1" applyBorder="1" applyAlignment="1" applyProtection="1">
      <alignment horizontal="right"/>
    </xf>
    <xf numFmtId="0" fontId="3" fillId="0" borderId="2" xfId="0" applyFont="1" applyBorder="1" applyAlignment="1">
      <alignment horizontal="center"/>
    </xf>
    <xf numFmtId="0" fontId="3" fillId="0" borderId="2" xfId="0" applyNumberFormat="1" applyFont="1" applyBorder="1" applyAlignment="1">
      <alignment horizontal="center"/>
    </xf>
    <xf numFmtId="41" fontId="2" fillId="0" borderId="3" xfId="0" applyNumberFormat="1" applyFont="1" applyFill="1" applyBorder="1"/>
    <xf numFmtId="41" fontId="2" fillId="0" borderId="4" xfId="0" applyNumberFormat="1" applyFont="1" applyFill="1" applyBorder="1"/>
    <xf numFmtId="41" fontId="2" fillId="0" borderId="5" xfId="0" applyNumberFormat="1" applyFont="1" applyFill="1" applyBorder="1"/>
    <xf numFmtId="41" fontId="2" fillId="0" borderId="8" xfId="0" applyNumberFormat="1" applyFont="1" applyFill="1" applyBorder="1"/>
    <xf numFmtId="41" fontId="2" fillId="0" borderId="9" xfId="0" applyNumberFormat="1" applyFont="1" applyFill="1" applyBorder="1"/>
    <xf numFmtId="41" fontId="2" fillId="0" borderId="6" xfId="0" applyNumberFormat="1" applyFont="1" applyFill="1" applyBorder="1"/>
    <xf numFmtId="41" fontId="2" fillId="0" borderId="7" xfId="0" applyNumberFormat="1" applyFont="1" applyFill="1" applyBorder="1"/>
    <xf numFmtId="41" fontId="2" fillId="0" borderId="10" xfId="0" applyNumberFormat="1" applyFont="1" applyBorder="1"/>
    <xf numFmtId="41" fontId="2" fillId="0" borderId="11" xfId="0" applyNumberFormat="1" applyFont="1" applyBorder="1"/>
    <xf numFmtId="41" fontId="2" fillId="0" borderId="12" xfId="0" applyNumberFormat="1" applyFont="1" applyBorder="1"/>
    <xf numFmtId="0" fontId="2" fillId="0" borderId="0" xfId="0" applyFont="1" applyFill="1" applyBorder="1" applyAlignment="1">
      <alignment horizontal="left" indent="1"/>
    </xf>
    <xf numFmtId="167" fontId="5" fillId="0" borderId="8" xfId="0" applyNumberFormat="1" applyFont="1" applyFill="1" applyBorder="1"/>
    <xf numFmtId="167" fontId="5" fillId="0" borderId="0" xfId="0" applyNumberFormat="1" applyFont="1" applyFill="1" applyBorder="1"/>
    <xf numFmtId="167" fontId="5" fillId="0" borderId="9" xfId="0" applyNumberFormat="1" applyFont="1" applyFill="1" applyBorder="1"/>
    <xf numFmtId="167" fontId="5" fillId="0" borderId="6" xfId="0" applyNumberFormat="1" applyFont="1" applyFill="1" applyBorder="1"/>
    <xf numFmtId="167" fontId="5" fillId="0" borderId="1" xfId="0" applyNumberFormat="1" applyFont="1" applyFill="1" applyBorder="1"/>
    <xf numFmtId="167" fontId="5" fillId="0" borderId="7" xfId="0" applyNumberFormat="1" applyFont="1" applyFill="1" applyBorder="1"/>
    <xf numFmtId="167" fontId="5" fillId="0" borderId="3" xfId="0" applyNumberFormat="1" applyFont="1" applyFill="1" applyBorder="1"/>
    <xf numFmtId="167" fontId="5" fillId="0" borderId="4" xfId="0" applyNumberFormat="1" applyFont="1" applyFill="1" applyBorder="1"/>
    <xf numFmtId="167" fontId="5" fillId="0" borderId="5" xfId="0" applyNumberFormat="1" applyFont="1" applyFill="1" applyBorder="1"/>
    <xf numFmtId="167" fontId="5" fillId="0" borderId="8" xfId="0" applyNumberFormat="1" applyFont="1" applyFill="1" applyBorder="1" applyProtection="1"/>
    <xf numFmtId="167" fontId="5" fillId="0" borderId="9" xfId="0" applyNumberFormat="1" applyFont="1" applyFill="1" applyBorder="1" applyProtection="1"/>
    <xf numFmtId="168" fontId="2" fillId="0" borderId="3" xfId="0" applyNumberFormat="1" applyFont="1" applyBorder="1" applyAlignment="1">
      <alignment horizontal="right"/>
    </xf>
    <xf numFmtId="168" fontId="2" fillId="0" borderId="4" xfId="0" applyNumberFormat="1" applyFont="1" applyBorder="1" applyAlignment="1">
      <alignment horizontal="right"/>
    </xf>
    <xf numFmtId="168" fontId="2" fillId="0" borderId="5" xfId="0" applyNumberFormat="1" applyFont="1" applyBorder="1" applyAlignment="1">
      <alignment horizontal="right"/>
    </xf>
    <xf numFmtId="168" fontId="2" fillId="0" borderId="8" xfId="0" applyNumberFormat="1" applyFont="1" applyBorder="1" applyAlignment="1">
      <alignment horizontal="right"/>
    </xf>
    <xf numFmtId="168" fontId="2" fillId="0" borderId="9" xfId="0" applyNumberFormat="1" applyFont="1" applyBorder="1" applyAlignment="1">
      <alignment horizontal="right"/>
    </xf>
    <xf numFmtId="168" fontId="2" fillId="0" borderId="6" xfId="0" applyNumberFormat="1" applyFont="1" applyBorder="1" applyAlignment="1">
      <alignment horizontal="right"/>
    </xf>
    <xf numFmtId="168" fontId="2" fillId="0" borderId="1" xfId="0" applyNumberFormat="1" applyFont="1" applyBorder="1" applyAlignment="1">
      <alignment horizontal="right"/>
    </xf>
    <xf numFmtId="168" fontId="2" fillId="0" borderId="7" xfId="0" applyNumberFormat="1" applyFont="1" applyBorder="1" applyAlignment="1">
      <alignment horizontal="right"/>
    </xf>
    <xf numFmtId="168" fontId="2" fillId="0" borderId="10" xfId="0" applyNumberFormat="1" applyFont="1" applyBorder="1" applyAlignment="1">
      <alignment horizontal="right"/>
    </xf>
    <xf numFmtId="168" fontId="2" fillId="0" borderId="11" xfId="0" applyNumberFormat="1" applyFont="1" applyBorder="1" applyAlignment="1">
      <alignment horizontal="right"/>
    </xf>
    <xf numFmtId="168" fontId="2" fillId="0" borderId="12" xfId="0" applyNumberFormat="1" applyFont="1" applyBorder="1" applyAlignment="1">
      <alignment horizontal="right"/>
    </xf>
    <xf numFmtId="0" fontId="2" fillId="0" borderId="0" xfId="0" applyFont="1" applyBorder="1" applyAlignment="1">
      <alignment horizontal="left" indent="1"/>
    </xf>
    <xf numFmtId="0" fontId="4" fillId="0" borderId="0" xfId="0" applyFont="1" applyBorder="1" applyAlignment="1">
      <alignment horizontal="left" indent="1"/>
    </xf>
    <xf numFmtId="166" fontId="2" fillId="0" borderId="3" xfId="1" applyNumberFormat="1" applyFont="1" applyBorder="1" applyAlignment="1">
      <alignment horizontal="right"/>
    </xf>
    <xf numFmtId="166" fontId="2" fillId="0" borderId="4" xfId="1" applyNumberFormat="1" applyFont="1" applyBorder="1" applyAlignment="1">
      <alignment horizontal="right"/>
    </xf>
    <xf numFmtId="166" fontId="2" fillId="0" borderId="5" xfId="1" applyNumberFormat="1" applyFont="1" applyBorder="1" applyAlignment="1">
      <alignment horizontal="right"/>
    </xf>
    <xf numFmtId="166" fontId="2" fillId="0" borderId="8" xfId="1" applyNumberFormat="1" applyFont="1" applyBorder="1"/>
    <xf numFmtId="166" fontId="2" fillId="0" borderId="0" xfId="1" applyNumberFormat="1" applyFont="1" applyBorder="1"/>
    <xf numFmtId="166" fontId="2" fillId="0" borderId="9" xfId="1" applyNumberFormat="1" applyFont="1" applyBorder="1"/>
    <xf numFmtId="166" fontId="2" fillId="0" borderId="6" xfId="1" applyNumberFormat="1" applyFont="1" applyBorder="1" applyAlignment="1">
      <alignment horizontal="right"/>
    </xf>
    <xf numFmtId="166" fontId="2" fillId="0" borderId="1" xfId="1" applyNumberFormat="1" applyFont="1" applyBorder="1" applyAlignment="1">
      <alignment horizontal="right"/>
    </xf>
    <xf numFmtId="166" fontId="2" fillId="0" borderId="7" xfId="1" applyNumberFormat="1" applyFont="1" applyBorder="1" applyAlignment="1">
      <alignment horizontal="right"/>
    </xf>
    <xf numFmtId="0" fontId="4" fillId="0" borderId="0" xfId="0" applyFont="1" applyFill="1" applyBorder="1" applyAlignment="1">
      <alignment horizontal="left" indent="1"/>
    </xf>
    <xf numFmtId="168" fontId="0" fillId="0" borderId="3" xfId="0" applyNumberFormat="1" applyBorder="1"/>
    <xf numFmtId="168" fontId="0" fillId="0" borderId="4" xfId="0" applyNumberFormat="1" applyBorder="1"/>
    <xf numFmtId="168" fontId="0" fillId="0" borderId="5" xfId="0" applyNumberFormat="1" applyBorder="1"/>
    <xf numFmtId="0" fontId="0" fillId="0" borderId="6" xfId="0" applyBorder="1"/>
    <xf numFmtId="168" fontId="0" fillId="0" borderId="1" xfId="0" applyNumberFormat="1" applyBorder="1"/>
    <xf numFmtId="168" fontId="0" fillId="0" borderId="7" xfId="0" applyNumberFormat="1" applyBorder="1"/>
    <xf numFmtId="0" fontId="0" fillId="0" borderId="3" xfId="0" applyBorder="1"/>
    <xf numFmtId="0" fontId="0" fillId="0" borderId="4" xfId="0" applyBorder="1"/>
    <xf numFmtId="0" fontId="0" fillId="0" borderId="5" xfId="0" applyBorder="1"/>
    <xf numFmtId="166" fontId="0" fillId="0" borderId="8" xfId="1" applyNumberFormat="1" applyFont="1" applyBorder="1"/>
    <xf numFmtId="166" fontId="0" fillId="0" borderId="0" xfId="1" applyNumberFormat="1" applyFont="1" applyBorder="1"/>
    <xf numFmtId="166" fontId="0" fillId="0" borderId="9" xfId="1" applyNumberFormat="1" applyFont="1" applyBorder="1"/>
    <xf numFmtId="166" fontId="0" fillId="0" borderId="1" xfId="1" applyNumberFormat="1" applyFont="1" applyBorder="1"/>
    <xf numFmtId="166" fontId="0" fillId="0" borderId="7" xfId="1" applyNumberFormat="1" applyFont="1" applyBorder="1"/>
    <xf numFmtId="164" fontId="0" fillId="0" borderId="1" xfId="2" applyNumberFormat="1" applyFont="1" applyBorder="1"/>
    <xf numFmtId="164" fontId="0" fillId="0" borderId="7" xfId="2" applyNumberFormat="1" applyFont="1" applyBorder="1"/>
    <xf numFmtId="0" fontId="0" fillId="0" borderId="1" xfId="0" applyBorder="1"/>
    <xf numFmtId="0" fontId="3" fillId="0" borderId="0" xfId="0" applyFont="1"/>
    <xf numFmtId="0" fontId="2" fillId="2" borderId="0" xfId="0" applyFont="1" applyFill="1" applyAlignment="1">
      <alignment wrapText="1"/>
    </xf>
    <xf numFmtId="0" fontId="2" fillId="3" borderId="0" xfId="0" applyFont="1" applyFill="1" applyAlignment="1">
      <alignment wrapText="1"/>
    </xf>
    <xf numFmtId="0" fontId="3" fillId="2" borderId="13" xfId="0" applyFont="1" applyFill="1" applyBorder="1" applyAlignment="1">
      <alignment horizontal="center" wrapText="1"/>
    </xf>
    <xf numFmtId="0" fontId="3" fillId="2" borderId="5" xfId="0" applyFont="1" applyFill="1" applyBorder="1" applyAlignment="1">
      <alignment horizontal="center" wrapText="1"/>
    </xf>
    <xf numFmtId="0" fontId="2" fillId="2" borderId="0" xfId="0" applyFont="1" applyFill="1" applyAlignment="1">
      <alignment horizontal="left" wrapText="1" indent="1"/>
    </xf>
    <xf numFmtId="0" fontId="4" fillId="2" borderId="0" xfId="0" applyFont="1" applyFill="1" applyAlignment="1">
      <alignment horizontal="left" wrapText="1" indent="1"/>
    </xf>
    <xf numFmtId="0" fontId="3" fillId="2" borderId="2" xfId="0" applyFont="1" applyFill="1" applyBorder="1" applyAlignment="1">
      <alignment horizontal="center" wrapText="1"/>
    </xf>
    <xf numFmtId="0" fontId="0" fillId="0" borderId="0" xfId="0" applyAlignment="1">
      <alignment wrapText="1"/>
    </xf>
    <xf numFmtId="0" fontId="3" fillId="0" borderId="0" xfId="0" applyFont="1" applyAlignment="1">
      <alignment wrapText="1"/>
    </xf>
    <xf numFmtId="0" fontId="0" fillId="0" borderId="0" xfId="0" applyAlignment="1">
      <alignment horizontal="left" wrapText="1" indent="1"/>
    </xf>
    <xf numFmtId="0" fontId="2" fillId="2" borderId="2" xfId="0" applyFont="1" applyFill="1" applyBorder="1" applyAlignment="1">
      <alignment horizontal="right" wrapText="1"/>
    </xf>
    <xf numFmtId="169" fontId="5" fillId="0" borderId="3" xfId="0" applyNumberFormat="1" applyFont="1" applyFill="1" applyBorder="1" applyProtection="1"/>
    <xf numFmtId="169" fontId="5" fillId="0" borderId="4" xfId="0" applyNumberFormat="1" applyFont="1" applyFill="1" applyBorder="1" applyProtection="1"/>
    <xf numFmtId="169" fontId="5" fillId="0" borderId="5" xfId="0" applyNumberFormat="1" applyFont="1" applyFill="1" applyBorder="1" applyProtection="1"/>
    <xf numFmtId="167" fontId="2" fillId="0" borderId="0" xfId="0" applyNumberFormat="1" applyFont="1" applyBorder="1"/>
    <xf numFmtId="0" fontId="6" fillId="0" borderId="0" xfId="0" applyFont="1"/>
    <xf numFmtId="0" fontId="2" fillId="0" borderId="0" xfId="0" applyFont="1" applyAlignment="1">
      <alignment wrapText="1"/>
    </xf>
    <xf numFmtId="0" fontId="2" fillId="0" borderId="0" xfId="0" applyFont="1" applyAlignment="1">
      <alignment horizontal="left" wrapText="1" indent="1"/>
    </xf>
    <xf numFmtId="165" fontId="2" fillId="2" borderId="2" xfId="0" applyNumberFormat="1" applyFont="1" applyFill="1" applyBorder="1" applyAlignment="1">
      <alignment horizontal="right" wrapText="1"/>
    </xf>
    <xf numFmtId="165" fontId="2" fillId="3" borderId="2" xfId="0" applyNumberFormat="1" applyFont="1" applyFill="1" applyBorder="1" applyAlignment="1">
      <alignment horizontal="right" wrapText="1"/>
    </xf>
    <xf numFmtId="165" fontId="2" fillId="2" borderId="8" xfId="0" applyNumberFormat="1" applyFont="1" applyFill="1" applyBorder="1" applyAlignment="1">
      <alignment horizontal="right" wrapText="1"/>
    </xf>
    <xf numFmtId="168" fontId="2" fillId="2" borderId="3" xfId="0" applyNumberFormat="1" applyFont="1" applyFill="1" applyBorder="1" applyAlignment="1">
      <alignment horizontal="right" wrapText="1"/>
    </xf>
    <xf numFmtId="168" fontId="2" fillId="2" borderId="8" xfId="0" applyNumberFormat="1" applyFont="1" applyFill="1" applyBorder="1" applyAlignment="1">
      <alignment horizontal="right" wrapText="1"/>
    </xf>
    <xf numFmtId="168" fontId="2" fillId="2" borderId="13" xfId="0" applyNumberFormat="1" applyFont="1" applyFill="1" applyBorder="1" applyAlignment="1">
      <alignment horizontal="right" wrapText="1"/>
    </xf>
    <xf numFmtId="168" fontId="2" fillId="2" borderId="14" xfId="0" applyNumberFormat="1" applyFont="1" applyFill="1" applyBorder="1" applyAlignment="1">
      <alignment horizontal="right" wrapText="1"/>
    </xf>
    <xf numFmtId="168" fontId="2" fillId="2" borderId="10" xfId="0" applyNumberFormat="1" applyFont="1" applyFill="1" applyBorder="1" applyAlignment="1">
      <alignment horizontal="right" wrapText="1"/>
    </xf>
    <xf numFmtId="168" fontId="2" fillId="2" borderId="2" xfId="0" applyNumberFormat="1" applyFont="1" applyFill="1" applyBorder="1" applyAlignment="1">
      <alignment horizontal="right" wrapText="1"/>
    </xf>
    <xf numFmtId="165" fontId="2" fillId="2" borderId="10" xfId="0" applyNumberFormat="1" applyFont="1" applyFill="1" applyBorder="1" applyAlignment="1">
      <alignment horizontal="right" wrapText="1"/>
    </xf>
    <xf numFmtId="168" fontId="2" fillId="2" borderId="6" xfId="0" applyNumberFormat="1" applyFont="1" applyFill="1" applyBorder="1" applyAlignment="1">
      <alignment horizontal="right" wrapText="1"/>
    </xf>
    <xf numFmtId="165" fontId="2" fillId="2" borderId="13" xfId="0" applyNumberFormat="1" applyFont="1" applyFill="1" applyBorder="1" applyAlignment="1">
      <alignment horizontal="right" wrapText="1"/>
    </xf>
    <xf numFmtId="165" fontId="2" fillId="2" borderId="14" xfId="0" applyNumberFormat="1" applyFont="1" applyFill="1" applyBorder="1" applyAlignment="1">
      <alignment horizontal="right" wrapText="1"/>
    </xf>
    <xf numFmtId="168" fontId="2" fillId="2" borderId="15" xfId="0" applyNumberFormat="1" applyFont="1" applyFill="1" applyBorder="1" applyAlignment="1">
      <alignment horizontal="right" wrapText="1"/>
    </xf>
    <xf numFmtId="168" fontId="0" fillId="0" borderId="0" xfId="0" applyNumberFormat="1"/>
    <xf numFmtId="43" fontId="0" fillId="0" borderId="0" xfId="0" applyNumberFormat="1"/>
    <xf numFmtId="0" fontId="2" fillId="0" borderId="0" xfId="0" applyFont="1" applyFill="1" applyAlignment="1">
      <alignment wrapText="1"/>
    </xf>
    <xf numFmtId="0" fontId="0" fillId="0" borderId="0" xfId="0" applyFill="1"/>
    <xf numFmtId="0" fontId="0" fillId="0" borderId="0" xfId="0" applyFill="1" applyAlignment="1">
      <alignment wrapText="1"/>
    </xf>
    <xf numFmtId="0" fontId="3" fillId="0" borderId="2" xfId="0" applyFont="1" applyFill="1" applyBorder="1" applyAlignment="1">
      <alignment horizontal="center" wrapText="1"/>
    </xf>
    <xf numFmtId="0" fontId="3" fillId="0" borderId="12" xfId="0" applyFont="1" applyFill="1" applyBorder="1" applyAlignment="1">
      <alignment horizontal="center" wrapText="1"/>
    </xf>
    <xf numFmtId="168" fontId="2" fillId="0" borderId="8" xfId="0" applyNumberFormat="1" applyFont="1" applyFill="1" applyBorder="1" applyAlignment="1">
      <alignment horizontal="right" wrapText="1"/>
    </xf>
    <xf numFmtId="168" fontId="2" fillId="0" borderId="6" xfId="0" applyNumberFormat="1" applyFont="1" applyFill="1" applyBorder="1" applyAlignment="1">
      <alignment horizontal="right" wrapText="1"/>
    </xf>
    <xf numFmtId="168" fontId="2" fillId="0" borderId="1" xfId="0" applyNumberFormat="1" applyFont="1" applyFill="1" applyBorder="1" applyAlignment="1">
      <alignment horizontal="right" wrapText="1"/>
    </xf>
    <xf numFmtId="168" fontId="2" fillId="0" borderId="7" xfId="0" applyNumberFormat="1" applyFont="1" applyFill="1" applyBorder="1" applyAlignment="1">
      <alignment horizontal="right" wrapText="1"/>
    </xf>
    <xf numFmtId="168" fontId="2" fillId="0" borderId="8" xfId="0" applyNumberFormat="1" applyFont="1" applyFill="1" applyBorder="1" applyAlignment="1">
      <alignment wrapText="1"/>
    </xf>
    <xf numFmtId="168" fontId="2" fillId="0" borderId="0" xfId="0" applyNumberFormat="1" applyFont="1" applyFill="1" applyAlignment="1">
      <alignment wrapText="1"/>
    </xf>
    <xf numFmtId="168" fontId="2" fillId="0" borderId="9" xfId="0" applyNumberFormat="1" applyFont="1" applyFill="1" applyBorder="1" applyAlignment="1">
      <alignment wrapText="1"/>
    </xf>
    <xf numFmtId="168" fontId="2" fillId="0" borderId="6" xfId="0" applyNumberFormat="1" applyFont="1" applyFill="1" applyBorder="1" applyAlignment="1">
      <alignment wrapText="1"/>
    </xf>
    <xf numFmtId="168" fontId="2" fillId="0" borderId="1" xfId="0" applyNumberFormat="1" applyFont="1" applyFill="1" applyBorder="1" applyAlignment="1">
      <alignment wrapText="1"/>
    </xf>
    <xf numFmtId="168" fontId="2" fillId="0" borderId="7" xfId="0" applyNumberFormat="1" applyFont="1" applyFill="1" applyBorder="1" applyAlignment="1">
      <alignment wrapText="1"/>
    </xf>
    <xf numFmtId="168" fontId="2" fillId="0" borderId="0" xfId="0" applyNumberFormat="1" applyFont="1" applyFill="1" applyAlignment="1">
      <alignment horizontal="right" wrapText="1"/>
    </xf>
    <xf numFmtId="168" fontId="2" fillId="0" borderId="9" xfId="0" applyNumberFormat="1" applyFont="1" applyFill="1" applyBorder="1" applyAlignment="1">
      <alignment horizontal="right" wrapText="1"/>
    </xf>
    <xf numFmtId="0" fontId="2" fillId="0" borderId="0" xfId="0" applyFont="1"/>
    <xf numFmtId="164" fontId="2" fillId="0" borderId="6" xfId="0" applyNumberFormat="1" applyFont="1" applyFill="1" applyBorder="1" applyAlignment="1">
      <alignment horizontal="right" wrapText="1"/>
    </xf>
    <xf numFmtId="164" fontId="2" fillId="0" borderId="1" xfId="0" applyNumberFormat="1" applyFont="1" applyFill="1" applyBorder="1" applyAlignment="1">
      <alignment horizontal="right" wrapText="1"/>
    </xf>
    <xf numFmtId="164" fontId="2" fillId="0" borderId="7" xfId="0" applyNumberFormat="1" applyFont="1" applyFill="1" applyBorder="1" applyAlignment="1">
      <alignment horizontal="right" wrapText="1"/>
    </xf>
    <xf numFmtId="164" fontId="2" fillId="0" borderId="6" xfId="0" applyNumberFormat="1" applyFont="1" applyFill="1" applyBorder="1" applyAlignment="1">
      <alignment wrapText="1"/>
    </xf>
    <xf numFmtId="164" fontId="2" fillId="0" borderId="1" xfId="0" applyNumberFormat="1" applyFont="1" applyFill="1" applyBorder="1" applyAlignment="1">
      <alignment wrapText="1"/>
    </xf>
    <xf numFmtId="0" fontId="7" fillId="0" borderId="0" xfId="0" applyFont="1" applyAlignment="1">
      <alignmen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R25"/>
  <sheetViews>
    <sheetView showGridLines="0" workbookViewId="0">
      <selection activeCell="I18" sqref="I18"/>
    </sheetView>
  </sheetViews>
  <sheetFormatPr defaultRowHeight="12.75" x14ac:dyDescent="0.2"/>
  <cols>
    <col min="2" max="2" width="37.5703125" style="1" customWidth="1"/>
  </cols>
  <sheetData>
    <row r="2" spans="1:18" x14ac:dyDescent="0.2">
      <c r="B2" s="4" t="s">
        <v>25</v>
      </c>
      <c r="C2" s="4"/>
      <c r="D2" s="4"/>
      <c r="E2" s="4"/>
      <c r="F2" s="2"/>
      <c r="G2" s="2"/>
      <c r="H2" s="2"/>
      <c r="I2" s="2"/>
      <c r="J2" s="2"/>
      <c r="K2" s="1"/>
      <c r="L2" s="1"/>
      <c r="M2" s="1"/>
      <c r="N2" s="1"/>
      <c r="O2" s="1"/>
      <c r="P2" s="1"/>
      <c r="Q2" s="1"/>
      <c r="R2" s="1"/>
    </row>
    <row r="3" spans="1:18" x14ac:dyDescent="0.2">
      <c r="B3" s="4"/>
      <c r="C3" s="4"/>
      <c r="D3" s="4"/>
      <c r="E3" s="4"/>
      <c r="F3" s="2"/>
      <c r="G3" s="2"/>
      <c r="H3" s="2"/>
      <c r="I3" s="2"/>
      <c r="J3" s="2"/>
      <c r="K3" s="1"/>
      <c r="L3" s="1"/>
      <c r="M3" s="1"/>
      <c r="N3" s="1"/>
      <c r="O3" s="1"/>
      <c r="P3" s="1"/>
      <c r="Q3" s="1"/>
      <c r="R3" s="1"/>
    </row>
    <row r="4" spans="1:18" x14ac:dyDescent="0.2">
      <c r="A4" s="1"/>
      <c r="B4" s="7"/>
      <c r="C4" s="14">
        <v>2013</v>
      </c>
      <c r="D4" s="14">
        <f>C4+1</f>
        <v>2014</v>
      </c>
      <c r="E4" s="14">
        <f t="shared" ref="E4:I4" si="0">D4+1</f>
        <v>2015</v>
      </c>
      <c r="F4" s="14">
        <f t="shared" si="0"/>
        <v>2016</v>
      </c>
      <c r="G4" s="14">
        <f t="shared" si="0"/>
        <v>2017</v>
      </c>
      <c r="H4" s="14">
        <f t="shared" si="0"/>
        <v>2018</v>
      </c>
      <c r="I4" s="14">
        <f t="shared" si="0"/>
        <v>2019</v>
      </c>
      <c r="J4" s="2"/>
    </row>
    <row r="5" spans="1:18" x14ac:dyDescent="0.2">
      <c r="B5" s="10" t="s">
        <v>47</v>
      </c>
      <c r="C5" s="100">
        <v>1802.223</v>
      </c>
      <c r="D5" s="101">
        <v>1993.8269999999998</v>
      </c>
      <c r="E5" s="101">
        <v>2216.5280000000002</v>
      </c>
      <c r="F5" s="101">
        <v>2472.6099999999997</v>
      </c>
      <c r="G5" s="101">
        <v>2787.9789999999998</v>
      </c>
      <c r="H5" s="101">
        <v>3432.8440000000001</v>
      </c>
      <c r="I5" s="102">
        <v>3618.77</v>
      </c>
      <c r="J5" s="2"/>
    </row>
    <row r="6" spans="1:18" x14ac:dyDescent="0.2">
      <c r="B6" s="10" t="s">
        <v>0</v>
      </c>
      <c r="C6" s="15">
        <v>1253.249</v>
      </c>
      <c r="D6" s="16">
        <v>1399.1</v>
      </c>
      <c r="E6" s="16">
        <v>1533.4</v>
      </c>
      <c r="F6" s="16">
        <v>1704.9</v>
      </c>
      <c r="G6" s="16">
        <v>1921.9880000000001</v>
      </c>
      <c r="H6" s="16">
        <v>2130.1999999999998</v>
      </c>
      <c r="I6" s="17">
        <v>2216.3000000000002</v>
      </c>
      <c r="J6" s="2"/>
    </row>
    <row r="7" spans="1:18" x14ac:dyDescent="0.2">
      <c r="B7" s="10"/>
      <c r="C7" s="5"/>
      <c r="D7" s="5"/>
      <c r="E7" s="5"/>
      <c r="F7" s="5"/>
      <c r="G7" s="5"/>
      <c r="H7" s="5"/>
      <c r="I7" s="5"/>
      <c r="J7" s="2"/>
    </row>
    <row r="8" spans="1:18" x14ac:dyDescent="0.2">
      <c r="B8" s="2"/>
      <c r="C8" s="2"/>
      <c r="D8" s="2"/>
      <c r="E8" s="2"/>
      <c r="F8" s="2"/>
      <c r="G8" s="2"/>
      <c r="H8" s="2"/>
      <c r="I8" s="2"/>
      <c r="J8" s="3"/>
    </row>
    <row r="9" spans="1:18" x14ac:dyDescent="0.2">
      <c r="B9" s="4" t="s">
        <v>26</v>
      </c>
      <c r="C9" s="4"/>
      <c r="D9" s="4"/>
      <c r="E9" s="4"/>
      <c r="F9" s="2"/>
      <c r="G9" s="2"/>
      <c r="H9" s="2"/>
      <c r="I9" s="2"/>
      <c r="J9" s="3"/>
    </row>
    <row r="10" spans="1:18" x14ac:dyDescent="0.2">
      <c r="B10" s="4"/>
      <c r="C10" s="4"/>
      <c r="D10" s="4"/>
      <c r="E10" s="4"/>
      <c r="F10" s="2"/>
      <c r="G10" s="2"/>
      <c r="H10" s="2"/>
      <c r="I10" s="2"/>
      <c r="J10" s="3"/>
    </row>
    <row r="11" spans="1:18" x14ac:dyDescent="0.2">
      <c r="A11" s="1"/>
      <c r="B11" s="7"/>
      <c r="C11" s="14">
        <v>2013</v>
      </c>
      <c r="D11" s="14">
        <f>C11+1</f>
        <v>2014</v>
      </c>
      <c r="E11" s="14">
        <f t="shared" ref="E11:I11" si="1">D11+1</f>
        <v>2015</v>
      </c>
      <c r="F11" s="14">
        <f t="shared" si="1"/>
        <v>2016</v>
      </c>
      <c r="G11" s="14">
        <f t="shared" si="1"/>
        <v>2017</v>
      </c>
      <c r="H11" s="14">
        <f t="shared" si="1"/>
        <v>2018</v>
      </c>
      <c r="I11" s="14">
        <f t="shared" si="1"/>
        <v>2019</v>
      </c>
      <c r="J11" s="2"/>
    </row>
    <row r="12" spans="1:18" x14ac:dyDescent="0.2">
      <c r="A12" s="1"/>
      <c r="B12" s="2" t="s">
        <v>14</v>
      </c>
      <c r="C12" s="18"/>
      <c r="D12" s="19"/>
      <c r="E12" s="19"/>
      <c r="F12" s="19"/>
      <c r="G12" s="20"/>
      <c r="H12" s="19"/>
      <c r="I12" s="21"/>
      <c r="J12" s="2"/>
    </row>
    <row r="13" spans="1:18" x14ac:dyDescent="0.2">
      <c r="A13" s="1"/>
      <c r="B13" s="36" t="s">
        <v>49</v>
      </c>
      <c r="C13" s="22"/>
      <c r="D13" s="12"/>
      <c r="E13" s="12"/>
      <c r="F13" s="12"/>
      <c r="G13" s="13"/>
      <c r="H13" s="12"/>
      <c r="I13" s="23"/>
      <c r="J13" s="2"/>
    </row>
    <row r="14" spans="1:18" x14ac:dyDescent="0.2">
      <c r="B14" s="36" t="s">
        <v>4</v>
      </c>
      <c r="C14" s="37">
        <v>105.779</v>
      </c>
      <c r="D14" s="38">
        <v>118.395</v>
      </c>
      <c r="E14" s="38">
        <v>131.58199999999999</v>
      </c>
      <c r="F14" s="38">
        <v>150.369</v>
      </c>
      <c r="G14" s="38">
        <v>173.67699999999999</v>
      </c>
      <c r="H14" s="38">
        <v>190.09100000000001</v>
      </c>
      <c r="I14" s="39">
        <v>210.26</v>
      </c>
      <c r="J14" s="3"/>
    </row>
    <row r="15" spans="1:18" x14ac:dyDescent="0.2">
      <c r="B15" s="36" t="s">
        <v>5</v>
      </c>
      <c r="C15" s="37">
        <v>30.321000000000002</v>
      </c>
      <c r="D15" s="38">
        <v>37.944000000000003</v>
      </c>
      <c r="E15" s="38">
        <v>36.860999999999997</v>
      </c>
      <c r="F15" s="38">
        <v>40.180999999999997</v>
      </c>
      <c r="G15" s="38">
        <v>39.960999999999999</v>
      </c>
      <c r="H15" s="38">
        <v>45.975000000000001</v>
      </c>
      <c r="I15" s="39">
        <v>52.954999999999998</v>
      </c>
      <c r="J15" s="3"/>
    </row>
    <row r="16" spans="1:18" x14ac:dyDescent="0.2">
      <c r="B16" s="36" t="s">
        <v>6</v>
      </c>
      <c r="C16" s="37">
        <v>64.893999999999977</v>
      </c>
      <c r="D16" s="38">
        <v>110.35599999999998</v>
      </c>
      <c r="E16" s="38">
        <v>119.80500000000006</v>
      </c>
      <c r="F16" s="38">
        <v>136.01199999999994</v>
      </c>
      <c r="G16" s="38">
        <v>138.61199999999997</v>
      </c>
      <c r="H16" s="38">
        <v>138.45400000000004</v>
      </c>
      <c r="I16" s="39">
        <v>124.51800000000007</v>
      </c>
      <c r="J16" s="3"/>
    </row>
    <row r="17" spans="2:10" x14ac:dyDescent="0.2">
      <c r="B17" s="36" t="s">
        <v>7</v>
      </c>
      <c r="C17" s="40">
        <v>10.71</v>
      </c>
      <c r="D17" s="41">
        <v>9.8569999999999993</v>
      </c>
      <c r="E17" s="41">
        <v>0</v>
      </c>
      <c r="F17" s="41">
        <v>0</v>
      </c>
      <c r="G17" s="41">
        <v>0</v>
      </c>
      <c r="H17" s="41">
        <v>0</v>
      </c>
      <c r="I17" s="42">
        <v>0</v>
      </c>
      <c r="J17" s="3"/>
    </row>
    <row r="18" spans="2:10" x14ac:dyDescent="0.2">
      <c r="B18" s="2"/>
      <c r="C18" s="43"/>
      <c r="D18" s="44"/>
      <c r="E18" s="44"/>
      <c r="F18" s="44"/>
      <c r="G18" s="44"/>
      <c r="H18" s="44"/>
      <c r="I18" s="45"/>
      <c r="J18" s="3"/>
    </row>
    <row r="19" spans="2:10" x14ac:dyDescent="0.2">
      <c r="B19" s="2" t="s">
        <v>15</v>
      </c>
      <c r="C19" s="37"/>
      <c r="D19" s="38"/>
      <c r="E19" s="38"/>
      <c r="F19" s="38"/>
      <c r="G19" s="38"/>
      <c r="H19" s="38"/>
      <c r="I19" s="39"/>
      <c r="J19" s="3"/>
    </row>
    <row r="20" spans="2:10" x14ac:dyDescent="0.2">
      <c r="B20" s="2"/>
      <c r="C20" s="37"/>
      <c r="D20" s="38"/>
      <c r="E20" s="38"/>
      <c r="F20" s="38"/>
      <c r="G20" s="38"/>
      <c r="H20" s="38"/>
      <c r="I20" s="39"/>
      <c r="J20" s="3"/>
    </row>
    <row r="21" spans="2:10" x14ac:dyDescent="0.2">
      <c r="B21" s="36" t="s">
        <v>8</v>
      </c>
      <c r="C21" s="46">
        <v>83.408000000000001</v>
      </c>
      <c r="D21" s="11">
        <v>86.552000000000007</v>
      </c>
      <c r="E21" s="11">
        <v>106.92700000000001</v>
      </c>
      <c r="F21" s="11">
        <v>111.51</v>
      </c>
      <c r="G21" s="11">
        <v>106.89400000000001</v>
      </c>
      <c r="H21" s="11">
        <v>92.546000000000006</v>
      </c>
      <c r="I21" s="47">
        <v>111.101</v>
      </c>
      <c r="J21" s="3"/>
    </row>
    <row r="22" spans="2:10" x14ac:dyDescent="0.2">
      <c r="B22" s="36" t="s">
        <v>9</v>
      </c>
      <c r="C22" s="46">
        <v>68.132999999999981</v>
      </c>
      <c r="D22" s="11">
        <v>70.71899999999998</v>
      </c>
      <c r="E22" s="11">
        <v>71.05499999999995</v>
      </c>
      <c r="F22" s="11">
        <v>77.656999999999982</v>
      </c>
      <c r="G22" s="11">
        <v>80.265999999999934</v>
      </c>
      <c r="H22" s="11">
        <v>89.15300000000002</v>
      </c>
      <c r="I22" s="47">
        <v>131.14800000000002</v>
      </c>
      <c r="J22" s="3"/>
    </row>
    <row r="23" spans="2:10" x14ac:dyDescent="0.2">
      <c r="B23" s="36" t="s">
        <v>48</v>
      </c>
      <c r="C23" s="46">
        <v>44.695</v>
      </c>
      <c r="D23" s="11">
        <v>72.055000000000007</v>
      </c>
      <c r="E23" s="11">
        <v>99.159000000000006</v>
      </c>
      <c r="F23" s="11">
        <v>118.377</v>
      </c>
      <c r="G23" s="11">
        <v>120.223</v>
      </c>
      <c r="H23" s="11">
        <v>107.15</v>
      </c>
      <c r="I23" s="47">
        <v>101.92100000000001</v>
      </c>
      <c r="J23" s="3"/>
    </row>
    <row r="24" spans="2:10" x14ac:dyDescent="0.2">
      <c r="B24" s="36" t="s">
        <v>11</v>
      </c>
      <c r="C24" s="15">
        <v>34.231000000000002</v>
      </c>
      <c r="D24" s="16">
        <v>35.716999999999999</v>
      </c>
      <c r="E24" s="16">
        <v>39.509</v>
      </c>
      <c r="F24" s="16">
        <v>57.267000000000003</v>
      </c>
      <c r="G24" s="16">
        <v>58.578000000000003</v>
      </c>
      <c r="H24" s="16">
        <v>55.000999999999998</v>
      </c>
      <c r="I24" s="17">
        <v>66.266999999999996</v>
      </c>
      <c r="J24" s="3"/>
    </row>
    <row r="25" spans="2:10" x14ac:dyDescent="0.2">
      <c r="B25" s="3"/>
      <c r="C25" s="103"/>
      <c r="D25" s="3"/>
      <c r="E25" s="3"/>
      <c r="F25" s="3"/>
      <c r="G25" s="3"/>
      <c r="H25" s="3"/>
      <c r="I25" s="3"/>
      <c r="J25" s="3"/>
    </row>
  </sheetData>
  <phoneticPr fontId="0" type="noConversion"/>
  <pageMargins left="0.75" right="0.7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84"/>
  <sheetViews>
    <sheetView showGridLines="0" topLeftCell="A45" workbookViewId="0">
      <selection activeCell="B67" sqref="B67"/>
    </sheetView>
  </sheetViews>
  <sheetFormatPr defaultRowHeight="12.75" x14ac:dyDescent="0.2"/>
  <cols>
    <col min="2" max="2" width="76.85546875" customWidth="1"/>
  </cols>
  <sheetData>
    <row r="2" spans="2:2" ht="25.5" x14ac:dyDescent="0.2">
      <c r="B2" s="97" t="s">
        <v>50</v>
      </c>
    </row>
    <row r="3" spans="2:2" x14ac:dyDescent="0.2">
      <c r="B3" s="105"/>
    </row>
    <row r="4" spans="2:2" ht="72" x14ac:dyDescent="0.2">
      <c r="B4" s="146" t="s">
        <v>72</v>
      </c>
    </row>
    <row r="5" spans="2:2" x14ac:dyDescent="0.2">
      <c r="B5" s="96"/>
    </row>
    <row r="6" spans="2:2" x14ac:dyDescent="0.2">
      <c r="B6" s="97" t="s">
        <v>51</v>
      </c>
    </row>
    <row r="7" spans="2:2" x14ac:dyDescent="0.2">
      <c r="B7" s="96"/>
    </row>
    <row r="8" spans="2:2" ht="25.5" x14ac:dyDescent="0.2">
      <c r="B8" s="105" t="s">
        <v>52</v>
      </c>
    </row>
    <row r="9" spans="2:2" x14ac:dyDescent="0.2">
      <c r="B9" s="96"/>
    </row>
    <row r="10" spans="2:2" ht="38.25" x14ac:dyDescent="0.2">
      <c r="B10" s="106" t="s">
        <v>53</v>
      </c>
    </row>
    <row r="11" spans="2:2" ht="38.25" x14ac:dyDescent="0.2">
      <c r="B11" s="106" t="s">
        <v>54</v>
      </c>
    </row>
    <row r="12" spans="2:2" ht="25.5" x14ac:dyDescent="0.2">
      <c r="B12" s="106" t="s">
        <v>55</v>
      </c>
    </row>
    <row r="13" spans="2:2" x14ac:dyDescent="0.2">
      <c r="B13" s="98"/>
    </row>
    <row r="14" spans="2:2" ht="25.5" x14ac:dyDescent="0.2">
      <c r="B14" s="105" t="s">
        <v>56</v>
      </c>
    </row>
    <row r="15" spans="2:2" x14ac:dyDescent="0.2">
      <c r="B15" s="96"/>
    </row>
    <row r="16" spans="2:2" ht="25.5" x14ac:dyDescent="0.2">
      <c r="B16" s="96" t="s">
        <v>27</v>
      </c>
    </row>
    <row r="17" spans="2:8" x14ac:dyDescent="0.2">
      <c r="B17" s="96"/>
    </row>
    <row r="18" spans="2:8" ht="39" customHeight="1" x14ac:dyDescent="0.2">
      <c r="B18" s="98" t="s">
        <v>41</v>
      </c>
    </row>
    <row r="19" spans="2:8" ht="51" x14ac:dyDescent="0.2">
      <c r="B19" s="106" t="s">
        <v>57</v>
      </c>
    </row>
    <row r="20" spans="2:8" ht="38.25" x14ac:dyDescent="0.2">
      <c r="B20" s="106" t="s">
        <v>58</v>
      </c>
    </row>
    <row r="21" spans="2:8" ht="38.25" x14ac:dyDescent="0.2">
      <c r="B21" s="98" t="s">
        <v>42</v>
      </c>
    </row>
    <row r="22" spans="2:8" ht="51" x14ac:dyDescent="0.2">
      <c r="B22" s="106" t="s">
        <v>59</v>
      </c>
    </row>
    <row r="23" spans="2:8" ht="63.75" x14ac:dyDescent="0.2">
      <c r="B23" s="106" t="s">
        <v>70</v>
      </c>
    </row>
    <row r="24" spans="2:8" x14ac:dyDescent="0.2">
      <c r="B24" s="98"/>
    </row>
    <row r="25" spans="2:8" x14ac:dyDescent="0.2">
      <c r="B25" s="97" t="s">
        <v>60</v>
      </c>
    </row>
    <row r="26" spans="2:8" x14ac:dyDescent="0.2">
      <c r="B26" s="96"/>
    </row>
    <row r="27" spans="2:8" ht="25.5" x14ac:dyDescent="0.2">
      <c r="B27" s="105" t="s">
        <v>61</v>
      </c>
    </row>
    <row r="28" spans="2:8" x14ac:dyDescent="0.2">
      <c r="B28" s="96"/>
    </row>
    <row r="29" spans="2:8" ht="38.25" x14ac:dyDescent="0.2">
      <c r="B29" s="105" t="s">
        <v>67</v>
      </c>
    </row>
    <row r="30" spans="2:8" x14ac:dyDescent="0.2">
      <c r="B30" s="96"/>
    </row>
    <row r="31" spans="2:8" x14ac:dyDescent="0.2">
      <c r="B31" s="89"/>
      <c r="C31" s="95">
        <v>2014</v>
      </c>
      <c r="D31" s="95">
        <f>C31+1</f>
        <v>2015</v>
      </c>
      <c r="E31" s="95">
        <f t="shared" ref="E31:H31" si="0">D31+1</f>
        <v>2016</v>
      </c>
      <c r="F31" s="95">
        <f t="shared" si="0"/>
        <v>2017</v>
      </c>
      <c r="G31" s="95">
        <f t="shared" si="0"/>
        <v>2018</v>
      </c>
      <c r="H31" s="95">
        <f t="shared" si="0"/>
        <v>2019</v>
      </c>
    </row>
    <row r="32" spans="2:8" x14ac:dyDescent="0.2">
      <c r="B32" s="89" t="s">
        <v>28</v>
      </c>
      <c r="C32" s="107">
        <v>30.855</v>
      </c>
      <c r="D32" s="107">
        <v>133.44900000000001</v>
      </c>
      <c r="E32" s="107">
        <v>42.814999999999998</v>
      </c>
      <c r="F32" s="107">
        <v>35.768000000000001</v>
      </c>
      <c r="G32" s="107">
        <v>25.437999999999999</v>
      </c>
      <c r="H32" s="107">
        <v>190.61500000000001</v>
      </c>
    </row>
    <row r="33" spans="2:8" x14ac:dyDescent="0.2">
      <c r="B33" s="89" t="s">
        <v>29</v>
      </c>
      <c r="C33" s="107">
        <v>120.95399999999999</v>
      </c>
      <c r="D33" s="107">
        <v>180.94</v>
      </c>
      <c r="E33" s="107">
        <v>126.496</v>
      </c>
      <c r="F33" s="107">
        <v>191.762</v>
      </c>
      <c r="G33" s="107">
        <v>166.99299999999999</v>
      </c>
      <c r="H33" s="107">
        <v>209.26900000000001</v>
      </c>
    </row>
    <row r="34" spans="2:8" x14ac:dyDescent="0.2">
      <c r="B34" s="90" t="s">
        <v>30</v>
      </c>
      <c r="C34" s="108">
        <v>118.395</v>
      </c>
      <c r="D34" s="108">
        <v>131.58199999999999</v>
      </c>
      <c r="E34" s="108">
        <v>150.369</v>
      </c>
      <c r="F34" s="108">
        <v>173.67699999999999</v>
      </c>
      <c r="G34" s="108">
        <v>190.09100000000001</v>
      </c>
      <c r="H34" s="108">
        <v>210.26</v>
      </c>
    </row>
    <row r="35" spans="2:8" x14ac:dyDescent="0.2">
      <c r="B35" s="90" t="s">
        <v>31</v>
      </c>
      <c r="C35" s="108">
        <v>37.944000000000003</v>
      </c>
      <c r="D35" s="108">
        <v>36.860999999999997</v>
      </c>
      <c r="E35" s="108">
        <v>40.180999999999997</v>
      </c>
      <c r="F35" s="108">
        <v>39.960999999999999</v>
      </c>
      <c r="G35" s="108">
        <v>45.975000000000001</v>
      </c>
      <c r="H35" s="108">
        <v>52.954999999999998</v>
      </c>
    </row>
    <row r="36" spans="2:8" x14ac:dyDescent="0.2">
      <c r="B36" s="90" t="s">
        <v>32</v>
      </c>
      <c r="C36" s="108">
        <v>110.35599999999998</v>
      </c>
      <c r="D36" s="108">
        <v>119.80500000000006</v>
      </c>
      <c r="E36" s="108">
        <v>136.01199999999994</v>
      </c>
      <c r="F36" s="108">
        <v>138.61199999999997</v>
      </c>
      <c r="G36" s="108">
        <v>138.45400000000004</v>
      </c>
      <c r="H36" s="108">
        <v>124.51800000000007</v>
      </c>
    </row>
    <row r="37" spans="2:8" x14ac:dyDescent="0.2">
      <c r="B37" s="89" t="s">
        <v>33</v>
      </c>
      <c r="C37" s="99">
        <v>9.9</v>
      </c>
      <c r="D37" s="99">
        <v>0</v>
      </c>
      <c r="E37" s="99">
        <v>0</v>
      </c>
      <c r="F37" s="99">
        <v>0</v>
      </c>
      <c r="G37" s="99">
        <v>0</v>
      </c>
      <c r="H37" s="99">
        <v>0</v>
      </c>
    </row>
    <row r="38" spans="2:8" x14ac:dyDescent="0.2">
      <c r="B38" s="89" t="s">
        <v>34</v>
      </c>
      <c r="C38" s="107">
        <f>SUM(C32:C37)</f>
        <v>428.404</v>
      </c>
      <c r="D38" s="107">
        <f t="shared" ref="D38:H38" si="1">SUM(D32:D37)</f>
        <v>602.63700000000006</v>
      </c>
      <c r="E38" s="107">
        <f t="shared" si="1"/>
        <v>495.87299999999988</v>
      </c>
      <c r="F38" s="107">
        <f t="shared" si="1"/>
        <v>579.78</v>
      </c>
      <c r="G38" s="107">
        <f t="shared" si="1"/>
        <v>566.95100000000002</v>
      </c>
      <c r="H38" s="107">
        <f t="shared" si="1"/>
        <v>787.61700000000008</v>
      </c>
    </row>
    <row r="39" spans="2:8" x14ac:dyDescent="0.2">
      <c r="B39" s="90" t="s">
        <v>35</v>
      </c>
      <c r="C39" s="108">
        <v>86.552000000000007</v>
      </c>
      <c r="D39" s="108">
        <v>106.92700000000001</v>
      </c>
      <c r="E39" s="108">
        <v>111.51</v>
      </c>
      <c r="F39" s="108">
        <v>106.89400000000001</v>
      </c>
      <c r="G39" s="108">
        <v>92.546000000000006</v>
      </c>
      <c r="H39" s="108">
        <v>111.101</v>
      </c>
    </row>
    <row r="40" spans="2:8" x14ac:dyDescent="0.2">
      <c r="B40" s="89" t="s">
        <v>62</v>
      </c>
      <c r="C40" s="107">
        <v>0.56499999999999995</v>
      </c>
      <c r="D40" s="107">
        <v>59.332999999999998</v>
      </c>
      <c r="E40" s="107">
        <v>38.887</v>
      </c>
      <c r="F40" s="107">
        <v>32.323999999999998</v>
      </c>
      <c r="G40" s="107">
        <v>35.893000000000001</v>
      </c>
      <c r="H40" s="107">
        <v>43.393999999999998</v>
      </c>
    </row>
    <row r="41" spans="2:8" x14ac:dyDescent="0.2">
      <c r="B41" s="90" t="s">
        <v>36</v>
      </c>
      <c r="C41" s="108">
        <v>70.71899999999998</v>
      </c>
      <c r="D41" s="108">
        <v>71.05499999999995</v>
      </c>
      <c r="E41" s="108">
        <v>77.656999999999982</v>
      </c>
      <c r="F41" s="108">
        <v>80.265999999999934</v>
      </c>
      <c r="G41" s="108">
        <v>89.15300000000002</v>
      </c>
      <c r="H41" s="108">
        <v>131.14800000000002</v>
      </c>
    </row>
    <row r="42" spans="2:8" x14ac:dyDescent="0.2">
      <c r="B42" s="90" t="s">
        <v>48</v>
      </c>
      <c r="C42" s="108">
        <v>72.055000000000007</v>
      </c>
      <c r="D42" s="108">
        <v>99.159000000000006</v>
      </c>
      <c r="E42" s="108">
        <v>118.377</v>
      </c>
      <c r="F42" s="108">
        <v>120.223</v>
      </c>
      <c r="G42" s="108">
        <v>107.15</v>
      </c>
      <c r="H42" s="108">
        <v>101.92100000000001</v>
      </c>
    </row>
    <row r="43" spans="2:8" x14ac:dyDescent="0.2">
      <c r="B43" s="90" t="s">
        <v>37</v>
      </c>
      <c r="C43" s="108">
        <v>35.716999999999999</v>
      </c>
      <c r="D43" s="108">
        <v>39.509</v>
      </c>
      <c r="E43" s="108">
        <v>57.267000000000003</v>
      </c>
      <c r="F43" s="108">
        <v>58.578000000000003</v>
      </c>
      <c r="G43" s="108">
        <v>55.000999999999998</v>
      </c>
      <c r="H43" s="108">
        <v>66.266999999999996</v>
      </c>
    </row>
    <row r="44" spans="2:8" x14ac:dyDescent="0.2">
      <c r="B44" s="89" t="s">
        <v>38</v>
      </c>
      <c r="C44" s="107">
        <f>C39+C41+C42+C43</f>
        <v>265.04300000000001</v>
      </c>
      <c r="D44" s="107">
        <f t="shared" ref="D44:H44" si="2">D39+D41+D42+D43</f>
        <v>316.64999999999998</v>
      </c>
      <c r="E44" s="107">
        <f t="shared" si="2"/>
        <v>364.81099999999998</v>
      </c>
      <c r="F44" s="107">
        <f t="shared" si="2"/>
        <v>365.9609999999999</v>
      </c>
      <c r="G44" s="107">
        <f t="shared" si="2"/>
        <v>343.85</v>
      </c>
      <c r="H44" s="107">
        <f t="shared" si="2"/>
        <v>410.43700000000001</v>
      </c>
    </row>
    <row r="45" spans="2:8" x14ac:dyDescent="0.2">
      <c r="B45" s="96"/>
    </row>
    <row r="46" spans="2:8" x14ac:dyDescent="0.2">
      <c r="B46" s="96" t="s">
        <v>43</v>
      </c>
    </row>
    <row r="47" spans="2:8" x14ac:dyDescent="0.2">
      <c r="B47" s="96"/>
    </row>
    <row r="48" spans="2:8" ht="38.25" x14ac:dyDescent="0.2">
      <c r="B48" s="105" t="s">
        <v>71</v>
      </c>
    </row>
    <row r="49" spans="2:7" x14ac:dyDescent="0.2">
      <c r="B49" s="96"/>
    </row>
    <row r="50" spans="2:7" x14ac:dyDescent="0.2">
      <c r="B50" s="96" t="s">
        <v>39</v>
      </c>
    </row>
    <row r="51" spans="2:7" x14ac:dyDescent="0.2">
      <c r="B51" s="96"/>
    </row>
    <row r="52" spans="2:7" x14ac:dyDescent="0.2">
      <c r="B52" s="89"/>
      <c r="C52" s="91">
        <v>2015</v>
      </c>
      <c r="D52" s="92">
        <f>C52+1</f>
        <v>2016</v>
      </c>
      <c r="E52" s="92">
        <f t="shared" ref="E52:G52" si="3">D52+1</f>
        <v>2017</v>
      </c>
      <c r="F52" s="92">
        <f t="shared" si="3"/>
        <v>2018</v>
      </c>
      <c r="G52" s="92">
        <f t="shared" si="3"/>
        <v>2019</v>
      </c>
    </row>
    <row r="53" spans="2:7" x14ac:dyDescent="0.2">
      <c r="B53" s="93" t="s">
        <v>16</v>
      </c>
      <c r="C53" s="110">
        <f>'Working Capital Analysis'!E5</f>
        <v>44.330560000000006</v>
      </c>
      <c r="D53" s="110">
        <f>'Working Capital Analysis'!F5</f>
        <v>49.452199999999998</v>
      </c>
      <c r="E53" s="110">
        <f>'Working Capital Analysis'!G5</f>
        <v>55.75958</v>
      </c>
      <c r="F53" s="110">
        <f>'Working Capital Analysis'!H5</f>
        <v>68.656880000000001</v>
      </c>
      <c r="G53" s="112">
        <f>'Working Capital Analysis'!I5</f>
        <v>72.375399999999999</v>
      </c>
    </row>
    <row r="54" spans="2:7" x14ac:dyDescent="0.2">
      <c r="B54" s="93" t="s">
        <v>1</v>
      </c>
      <c r="C54" s="111">
        <f>'Working Capital Analysis'!E6</f>
        <v>131.58199999999999</v>
      </c>
      <c r="D54" s="111">
        <f>'Working Capital Analysis'!F6</f>
        <v>150.369</v>
      </c>
      <c r="E54" s="111">
        <f>'Working Capital Analysis'!G6</f>
        <v>173.67699999999999</v>
      </c>
      <c r="F54" s="111">
        <f>'Working Capital Analysis'!H6</f>
        <v>190.09100000000001</v>
      </c>
      <c r="G54" s="113">
        <f>'Working Capital Analysis'!I6</f>
        <v>210.26</v>
      </c>
    </row>
    <row r="55" spans="2:7" x14ac:dyDescent="0.2">
      <c r="B55" s="93" t="s">
        <v>2</v>
      </c>
      <c r="C55" s="111">
        <f>'Working Capital Analysis'!E7</f>
        <v>36.860999999999997</v>
      </c>
      <c r="D55" s="111">
        <f>'Working Capital Analysis'!F7</f>
        <v>40.180999999999997</v>
      </c>
      <c r="E55" s="111">
        <f>'Working Capital Analysis'!G7</f>
        <v>39.960999999999999</v>
      </c>
      <c r="F55" s="111">
        <f>'Working Capital Analysis'!H7</f>
        <v>45.975000000000001</v>
      </c>
      <c r="G55" s="113">
        <f>'Working Capital Analysis'!I7</f>
        <v>52.954999999999998</v>
      </c>
    </row>
    <row r="56" spans="2:7" x14ac:dyDescent="0.2">
      <c r="B56" s="94" t="s">
        <v>6</v>
      </c>
      <c r="C56" s="111">
        <f>'Working Capital Analysis'!E8</f>
        <v>119.80500000000006</v>
      </c>
      <c r="D56" s="111">
        <f>'Working Capital Analysis'!F8</f>
        <v>136.01199999999994</v>
      </c>
      <c r="E56" s="111">
        <f>'Working Capital Analysis'!G8</f>
        <v>138.61199999999997</v>
      </c>
      <c r="F56" s="111">
        <f>'Working Capital Analysis'!H8</f>
        <v>138.45400000000004</v>
      </c>
      <c r="G56" s="113">
        <f>'Working Capital Analysis'!I8</f>
        <v>124.51800000000007</v>
      </c>
    </row>
    <row r="57" spans="2:7" x14ac:dyDescent="0.2">
      <c r="B57" s="89" t="s">
        <v>17</v>
      </c>
      <c r="C57" s="115">
        <f>SUM(C53:C56)</f>
        <v>332.57856000000004</v>
      </c>
      <c r="D57" s="115">
        <f t="shared" ref="D57:G57" si="4">SUM(D53:D56)</f>
        <v>376.01419999999996</v>
      </c>
      <c r="E57" s="114">
        <f t="shared" si="4"/>
        <v>408.00957999999997</v>
      </c>
      <c r="F57" s="114">
        <f t="shared" si="4"/>
        <v>443.1768800000001</v>
      </c>
      <c r="G57" s="115">
        <f t="shared" si="4"/>
        <v>460.10840000000007</v>
      </c>
    </row>
    <row r="58" spans="2:7" x14ac:dyDescent="0.2">
      <c r="B58" s="93" t="s">
        <v>8</v>
      </c>
      <c r="C58" s="109">
        <f>'Working Capital Analysis'!E11</f>
        <v>106.92700000000001</v>
      </c>
      <c r="D58" s="109">
        <f>'Working Capital Analysis'!F11</f>
        <v>111.51</v>
      </c>
      <c r="E58" s="109">
        <f>'Working Capital Analysis'!G11</f>
        <v>106.89400000000001</v>
      </c>
      <c r="F58" s="109">
        <f>'Working Capital Analysis'!H11</f>
        <v>92.546000000000006</v>
      </c>
      <c r="G58" s="118">
        <f>'Working Capital Analysis'!I11</f>
        <v>111.101</v>
      </c>
    </row>
    <row r="59" spans="2:7" x14ac:dyDescent="0.2">
      <c r="B59" s="93" t="s">
        <v>9</v>
      </c>
      <c r="C59" s="109">
        <f>'Working Capital Analysis'!E12</f>
        <v>71.05499999999995</v>
      </c>
      <c r="D59" s="109">
        <f>'Working Capital Analysis'!F12</f>
        <v>77.656999999999982</v>
      </c>
      <c r="E59" s="109">
        <f>'Working Capital Analysis'!G12</f>
        <v>80.265999999999934</v>
      </c>
      <c r="F59" s="109">
        <f>'Working Capital Analysis'!H12</f>
        <v>89.15300000000002</v>
      </c>
      <c r="G59" s="119">
        <f>'Working Capital Analysis'!I12</f>
        <v>131.14800000000002</v>
      </c>
    </row>
    <row r="60" spans="2:7" x14ac:dyDescent="0.2">
      <c r="B60" s="93" t="s">
        <v>10</v>
      </c>
      <c r="C60" s="109">
        <f>'Working Capital Analysis'!E13</f>
        <v>99.159000000000006</v>
      </c>
      <c r="D60" s="109">
        <f>'Working Capital Analysis'!F13</f>
        <v>118.377</v>
      </c>
      <c r="E60" s="109">
        <f>'Working Capital Analysis'!G13</f>
        <v>120.223</v>
      </c>
      <c r="F60" s="109">
        <f>'Working Capital Analysis'!H13</f>
        <v>107.15</v>
      </c>
      <c r="G60" s="119">
        <f>'Working Capital Analysis'!I13</f>
        <v>101.92100000000001</v>
      </c>
    </row>
    <row r="61" spans="2:7" x14ac:dyDescent="0.2">
      <c r="B61" s="93" t="s">
        <v>11</v>
      </c>
      <c r="C61" s="109">
        <f>'Working Capital Analysis'!E14</f>
        <v>39.509</v>
      </c>
      <c r="D61" s="109">
        <f>'Working Capital Analysis'!F14</f>
        <v>57.267000000000003</v>
      </c>
      <c r="E61" s="109">
        <f>'Working Capital Analysis'!G14</f>
        <v>58.578000000000003</v>
      </c>
      <c r="F61" s="109">
        <f>'Working Capital Analysis'!H14</f>
        <v>55.000999999999998</v>
      </c>
      <c r="G61" s="119">
        <f>'Working Capital Analysis'!I14</f>
        <v>66.266999999999996</v>
      </c>
    </row>
    <row r="62" spans="2:7" x14ac:dyDescent="0.2">
      <c r="B62" s="94" t="s">
        <v>18</v>
      </c>
      <c r="C62" s="116">
        <f>SUM(C58:C61)</f>
        <v>316.64999999999998</v>
      </c>
      <c r="D62" s="116">
        <f t="shared" ref="D62:G62" si="5">SUM(D58:D61)</f>
        <v>364.81099999999998</v>
      </c>
      <c r="E62" s="116">
        <f t="shared" si="5"/>
        <v>365.9609999999999</v>
      </c>
      <c r="F62" s="116">
        <f t="shared" si="5"/>
        <v>343.85</v>
      </c>
      <c r="G62" s="107">
        <f t="shared" si="5"/>
        <v>410.43700000000001</v>
      </c>
    </row>
    <row r="63" spans="2:7" x14ac:dyDescent="0.2">
      <c r="B63" s="89" t="s">
        <v>3</v>
      </c>
      <c r="C63" s="117">
        <f>C57-C62</f>
        <v>15.928560000000061</v>
      </c>
      <c r="D63" s="117">
        <f t="shared" ref="D63:G63" si="6">D57-D62</f>
        <v>11.203199999999981</v>
      </c>
      <c r="E63" s="117">
        <f t="shared" si="6"/>
        <v>42.048580000000072</v>
      </c>
      <c r="F63" s="117">
        <f t="shared" si="6"/>
        <v>99.326880000000074</v>
      </c>
      <c r="G63" s="120">
        <f t="shared" si="6"/>
        <v>49.671400000000062</v>
      </c>
    </row>
    <row r="64" spans="2:7" x14ac:dyDescent="0.2">
      <c r="B64" s="96"/>
    </row>
    <row r="65" spans="2:9" x14ac:dyDescent="0.2">
      <c r="B65" s="96"/>
    </row>
    <row r="66" spans="2:9" ht="25.5" x14ac:dyDescent="0.2">
      <c r="B66" s="123" t="s">
        <v>73</v>
      </c>
      <c r="C66" s="124"/>
      <c r="D66" s="124"/>
      <c r="E66" s="124"/>
      <c r="F66" s="124"/>
      <c r="G66" s="124"/>
      <c r="H66" s="124"/>
      <c r="I66" s="124"/>
    </row>
    <row r="67" spans="2:9" x14ac:dyDescent="0.2">
      <c r="B67" s="125"/>
      <c r="C67" s="124"/>
      <c r="D67" s="124"/>
      <c r="E67" s="124"/>
      <c r="F67" s="124"/>
      <c r="G67" s="124"/>
      <c r="H67" s="124"/>
      <c r="I67" s="124"/>
    </row>
    <row r="68" spans="2:9" x14ac:dyDescent="0.2">
      <c r="B68" s="123"/>
      <c r="C68" s="126">
        <v>2014</v>
      </c>
      <c r="D68" s="127">
        <f>C68+1</f>
        <v>2015</v>
      </c>
      <c r="E68" s="127">
        <f t="shared" ref="E68:H68" si="7">D68+1</f>
        <v>2016</v>
      </c>
      <c r="F68" s="127">
        <f t="shared" si="7"/>
        <v>2017</v>
      </c>
      <c r="G68" s="127">
        <f t="shared" si="7"/>
        <v>2018</v>
      </c>
      <c r="H68" s="127">
        <f t="shared" si="7"/>
        <v>2019</v>
      </c>
      <c r="I68" s="124"/>
    </row>
    <row r="69" spans="2:9" x14ac:dyDescent="0.2">
      <c r="B69" s="123" t="s">
        <v>3</v>
      </c>
      <c r="C69" s="128">
        <f>'Working Capital Analysis'!D23</f>
        <v>41.528539999999964</v>
      </c>
      <c r="D69" s="138">
        <f>'Working Capital Analysis'!E23</f>
        <v>15.928560000000061</v>
      </c>
      <c r="E69" s="138">
        <f>'Working Capital Analysis'!F23</f>
        <v>11.203199999999981</v>
      </c>
      <c r="F69" s="138">
        <f>'Working Capital Analysis'!G23</f>
        <v>42.048580000000072</v>
      </c>
      <c r="G69" s="138">
        <f>'Working Capital Analysis'!H23</f>
        <v>99.326880000000074</v>
      </c>
      <c r="H69" s="139">
        <f>'Working Capital Analysis'!I23</f>
        <v>49.671400000000062</v>
      </c>
      <c r="I69" s="124"/>
    </row>
    <row r="70" spans="2:9" x14ac:dyDescent="0.2">
      <c r="B70" s="123" t="s">
        <v>21</v>
      </c>
      <c r="C70" s="129">
        <f>'Working Capital Analysis'!D23-'Working Capital Analysis'!C23</f>
        <v>34.957079999999962</v>
      </c>
      <c r="D70" s="130">
        <f>'Working Capital Analysis'!E23-'Working Capital Analysis'!D23</f>
        <v>-25.599979999999903</v>
      </c>
      <c r="E70" s="130">
        <f>'Working Capital Analysis'!F23-'Working Capital Analysis'!E23</f>
        <v>-4.7253600000000802</v>
      </c>
      <c r="F70" s="130">
        <f>'Working Capital Analysis'!G23-'Working Capital Analysis'!F23</f>
        <v>30.845380000000091</v>
      </c>
      <c r="G70" s="130">
        <f>'Working Capital Analysis'!H23-'Working Capital Analysis'!G23</f>
        <v>57.278300000000002</v>
      </c>
      <c r="H70" s="131">
        <f>'Working Capital Analysis'!I23-'Working Capital Analysis'!H23</f>
        <v>-49.655480000000011</v>
      </c>
      <c r="I70" s="124"/>
    </row>
    <row r="71" spans="2:9" x14ac:dyDescent="0.2">
      <c r="B71" s="123" t="s">
        <v>47</v>
      </c>
      <c r="C71" s="132">
        <f>Inputs!D5</f>
        <v>1993.8269999999998</v>
      </c>
      <c r="D71" s="133">
        <f>Inputs!E5</f>
        <v>2216.5280000000002</v>
      </c>
      <c r="E71" s="133">
        <f>Inputs!F5</f>
        <v>2472.6099999999997</v>
      </c>
      <c r="F71" s="133">
        <f>Inputs!G5</f>
        <v>2787.9789999999998</v>
      </c>
      <c r="G71" s="133">
        <f>Inputs!H5</f>
        <v>3432.8440000000001</v>
      </c>
      <c r="H71" s="134">
        <f>Inputs!I6</f>
        <v>2216.3000000000002</v>
      </c>
      <c r="I71" s="124"/>
    </row>
    <row r="72" spans="2:9" x14ac:dyDescent="0.2">
      <c r="B72" s="123" t="s">
        <v>63</v>
      </c>
      <c r="C72" s="135">
        <f>Inputs!D5-Inputs!C5</f>
        <v>191.60399999999981</v>
      </c>
      <c r="D72" s="136">
        <f>Inputs!E5-Inputs!D5</f>
        <v>222.70100000000048</v>
      </c>
      <c r="E72" s="136">
        <f>Inputs!F5-Inputs!E5</f>
        <v>256.08199999999943</v>
      </c>
      <c r="F72" s="136">
        <f>Inputs!G5-Inputs!F5</f>
        <v>315.36900000000014</v>
      </c>
      <c r="G72" s="136">
        <f>Inputs!H5-Inputs!G5</f>
        <v>644.86500000000024</v>
      </c>
      <c r="H72" s="137">
        <f>Inputs!I5-Inputs!H5</f>
        <v>185.92599999999993</v>
      </c>
      <c r="I72" s="124"/>
    </row>
    <row r="73" spans="2:9" x14ac:dyDescent="0.2">
      <c r="B73" s="123" t="s">
        <v>22</v>
      </c>
      <c r="C73" s="141">
        <f>C70/C72</f>
        <v>0.18244441660925656</v>
      </c>
      <c r="D73" s="142">
        <f>D70/D72</f>
        <v>-0.11495224538731236</v>
      </c>
      <c r="E73" s="142">
        <f t="shared" ref="E73:G73" si="8">E70/E72</f>
        <v>-1.8452526924969702E-2</v>
      </c>
      <c r="F73" s="142">
        <f t="shared" si="8"/>
        <v>9.7807267042734305E-2</v>
      </c>
      <c r="G73" s="142">
        <f t="shared" si="8"/>
        <v>8.8822156575407221E-2</v>
      </c>
      <c r="H73" s="143">
        <f>H70/H72</f>
        <v>-0.26707120037003984</v>
      </c>
      <c r="I73" s="124"/>
    </row>
    <row r="74" spans="2:9" x14ac:dyDescent="0.2">
      <c r="B74" s="123" t="s">
        <v>23</v>
      </c>
      <c r="C74" s="144"/>
      <c r="D74" s="145"/>
      <c r="E74" s="145"/>
      <c r="F74" s="145"/>
      <c r="G74" s="145"/>
      <c r="H74" s="143">
        <f>(D70+E70+F70+G70+H70)/(D72+E72+F72+G72+H72)</f>
        <v>5.0111665455342723E-3</v>
      </c>
      <c r="I74" s="124"/>
    </row>
    <row r="75" spans="2:9" x14ac:dyDescent="0.2">
      <c r="B75" s="96"/>
    </row>
    <row r="76" spans="2:9" x14ac:dyDescent="0.2">
      <c r="B76" s="96"/>
    </row>
    <row r="77" spans="2:9" x14ac:dyDescent="0.2">
      <c r="B77" s="96"/>
    </row>
    <row r="78" spans="2:9" x14ac:dyDescent="0.2">
      <c r="B78" s="97" t="s">
        <v>68</v>
      </c>
    </row>
    <row r="79" spans="2:9" x14ac:dyDescent="0.2">
      <c r="B79" s="96"/>
    </row>
    <row r="80" spans="2:9" ht="51.75" customHeight="1" x14ac:dyDescent="0.2">
      <c r="B80" s="105" t="s">
        <v>69</v>
      </c>
    </row>
    <row r="81" spans="2:2" x14ac:dyDescent="0.2">
      <c r="B81" s="96"/>
    </row>
    <row r="82" spans="2:2" x14ac:dyDescent="0.2">
      <c r="B82" s="96"/>
    </row>
    <row r="83" spans="2:2" x14ac:dyDescent="0.2">
      <c r="B83" s="96"/>
    </row>
    <row r="84" spans="2:2" x14ac:dyDescent="0.2">
      <c r="B84" s="96"/>
    </row>
  </sheetData>
  <phoneticPr fontId="0" type="noConversion"/>
  <pageMargins left="0.75" right="0.75" top="1" bottom="1" header="0.5" footer="0.5"/>
  <pageSetup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32"/>
  <sheetViews>
    <sheetView showGridLines="0" tabSelected="1" workbookViewId="0">
      <selection activeCell="B32" sqref="B32"/>
    </sheetView>
  </sheetViews>
  <sheetFormatPr defaultRowHeight="12.75" x14ac:dyDescent="0.2"/>
  <cols>
    <col min="2" max="2" width="41.85546875" customWidth="1"/>
    <col min="3" max="9" width="9.28515625" bestFit="1" customWidth="1"/>
  </cols>
  <sheetData>
    <row r="2" spans="2:10" x14ac:dyDescent="0.2">
      <c r="B2" s="88" t="s">
        <v>24</v>
      </c>
    </row>
    <row r="4" spans="2:10" x14ac:dyDescent="0.2">
      <c r="B4" s="7"/>
      <c r="C4" s="14">
        <v>2013</v>
      </c>
      <c r="D4" s="14">
        <f>C4+1</f>
        <v>2014</v>
      </c>
      <c r="E4" s="14">
        <f t="shared" ref="E4:I4" si="0">D4+1</f>
        <v>2015</v>
      </c>
      <c r="F4" s="14">
        <f t="shared" si="0"/>
        <v>2016</v>
      </c>
      <c r="G4" s="14">
        <f t="shared" si="0"/>
        <v>2017</v>
      </c>
      <c r="H4" s="14">
        <f t="shared" si="0"/>
        <v>2018</v>
      </c>
      <c r="I4" s="14">
        <f t="shared" si="0"/>
        <v>2019</v>
      </c>
    </row>
    <row r="5" spans="2:10" x14ac:dyDescent="0.2">
      <c r="B5" s="59" t="s">
        <v>49</v>
      </c>
      <c r="C5" s="48">
        <f>(Inputs!C5*0.02)</f>
        <v>36.044460000000001</v>
      </c>
      <c r="D5" s="49">
        <f>(Inputs!D5*0.02)</f>
        <v>39.876539999999999</v>
      </c>
      <c r="E5" s="49">
        <f>(Inputs!E5*0.02)</f>
        <v>44.330560000000006</v>
      </c>
      <c r="F5" s="49">
        <f>(Inputs!F5*0.02)</f>
        <v>49.452199999999998</v>
      </c>
      <c r="G5" s="49">
        <f>(Inputs!G5*0.02)</f>
        <v>55.75958</v>
      </c>
      <c r="H5" s="49">
        <f>(Inputs!H5*0.02)</f>
        <v>68.656880000000001</v>
      </c>
      <c r="I5" s="50">
        <f>(Inputs!I5*0.02)</f>
        <v>72.375399999999999</v>
      </c>
    </row>
    <row r="6" spans="2:10" x14ac:dyDescent="0.2">
      <c r="B6" s="59" t="s">
        <v>1</v>
      </c>
      <c r="C6" s="51">
        <f>Inputs!C14</f>
        <v>105.779</v>
      </c>
      <c r="D6" s="6">
        <f>Inputs!D14</f>
        <v>118.395</v>
      </c>
      <c r="E6" s="6">
        <f>Inputs!E14</f>
        <v>131.58199999999999</v>
      </c>
      <c r="F6" s="6">
        <f>Inputs!F14</f>
        <v>150.369</v>
      </c>
      <c r="G6" s="6">
        <f>Inputs!G14</f>
        <v>173.67699999999999</v>
      </c>
      <c r="H6" s="6">
        <f>Inputs!H14</f>
        <v>190.09100000000001</v>
      </c>
      <c r="I6" s="52">
        <f>Inputs!I14</f>
        <v>210.26</v>
      </c>
    </row>
    <row r="7" spans="2:10" x14ac:dyDescent="0.2">
      <c r="B7" s="59" t="s">
        <v>2</v>
      </c>
      <c r="C7" s="51">
        <f>Inputs!C15</f>
        <v>30.321000000000002</v>
      </c>
      <c r="D7" s="6">
        <f>Inputs!D15</f>
        <v>37.944000000000003</v>
      </c>
      <c r="E7" s="6">
        <f>Inputs!E15</f>
        <v>36.860999999999997</v>
      </c>
      <c r="F7" s="6">
        <f>Inputs!F15</f>
        <v>40.180999999999997</v>
      </c>
      <c r="G7" s="6">
        <f>Inputs!G15</f>
        <v>39.960999999999999</v>
      </c>
      <c r="H7" s="6">
        <f>Inputs!H15</f>
        <v>45.975000000000001</v>
      </c>
      <c r="I7" s="52">
        <f>Inputs!I15</f>
        <v>52.954999999999998</v>
      </c>
    </row>
    <row r="8" spans="2:10" x14ac:dyDescent="0.2">
      <c r="B8" s="60" t="s">
        <v>6</v>
      </c>
      <c r="C8" s="53">
        <f>Inputs!C16</f>
        <v>64.893999999999977</v>
      </c>
      <c r="D8" s="54">
        <f>Inputs!D16</f>
        <v>110.35599999999998</v>
      </c>
      <c r="E8" s="54">
        <f>Inputs!E16</f>
        <v>119.80500000000006</v>
      </c>
      <c r="F8" s="54">
        <f>Inputs!F16</f>
        <v>136.01199999999994</v>
      </c>
      <c r="G8" s="54">
        <f>Inputs!G16</f>
        <v>138.61199999999997</v>
      </c>
      <c r="H8" s="54">
        <f>Inputs!H16</f>
        <v>138.45400000000004</v>
      </c>
      <c r="I8" s="55">
        <f>Inputs!I16</f>
        <v>124.51800000000007</v>
      </c>
    </row>
    <row r="9" spans="2:10" x14ac:dyDescent="0.2">
      <c r="B9" s="3" t="s">
        <v>17</v>
      </c>
      <c r="C9" s="56">
        <f>SUM(C5:C8)</f>
        <v>237.03845999999999</v>
      </c>
      <c r="D9" s="57">
        <f t="shared" ref="D9:I9" si="1">SUM(D5:D8)</f>
        <v>306.57153999999997</v>
      </c>
      <c r="E9" s="57">
        <f t="shared" si="1"/>
        <v>332.57856000000004</v>
      </c>
      <c r="F9" s="57">
        <f t="shared" si="1"/>
        <v>376.01419999999996</v>
      </c>
      <c r="G9" s="57">
        <f t="shared" si="1"/>
        <v>408.00957999999997</v>
      </c>
      <c r="H9" s="57">
        <f t="shared" si="1"/>
        <v>443.1768800000001</v>
      </c>
      <c r="I9" s="58">
        <f t="shared" si="1"/>
        <v>460.10840000000007</v>
      </c>
      <c r="J9" s="121"/>
    </row>
    <row r="10" spans="2:10" x14ac:dyDescent="0.2">
      <c r="B10" s="3"/>
      <c r="C10" s="61"/>
      <c r="D10" s="62"/>
      <c r="E10" s="62"/>
      <c r="F10" s="62"/>
      <c r="G10" s="62"/>
      <c r="H10" s="62"/>
      <c r="I10" s="63"/>
    </row>
    <row r="11" spans="2:10" x14ac:dyDescent="0.2">
      <c r="B11" s="59" t="str">
        <f>Inputs!B21</f>
        <v>Accounts payable</v>
      </c>
      <c r="C11" s="64">
        <f>Inputs!C21</f>
        <v>83.408000000000001</v>
      </c>
      <c r="D11" s="65">
        <f>Inputs!D21</f>
        <v>86.552000000000007</v>
      </c>
      <c r="E11" s="65">
        <f>Inputs!E21</f>
        <v>106.92700000000001</v>
      </c>
      <c r="F11" s="65">
        <f>Inputs!F21</f>
        <v>111.51</v>
      </c>
      <c r="G11" s="65">
        <f>Inputs!G21</f>
        <v>106.89400000000001</v>
      </c>
      <c r="H11" s="65">
        <f>Inputs!H21</f>
        <v>92.546000000000006</v>
      </c>
      <c r="I11" s="66">
        <f>Inputs!I21</f>
        <v>111.101</v>
      </c>
      <c r="J11" s="122"/>
    </row>
    <row r="12" spans="2:10" x14ac:dyDescent="0.2">
      <c r="B12" s="59" t="str">
        <f>Inputs!B22</f>
        <v>Accrued expenses</v>
      </c>
      <c r="C12" s="64">
        <f>Inputs!C22</f>
        <v>68.132999999999981</v>
      </c>
      <c r="D12" s="65">
        <f>Inputs!D22</f>
        <v>70.71899999999998</v>
      </c>
      <c r="E12" s="65">
        <f>Inputs!E22</f>
        <v>71.05499999999995</v>
      </c>
      <c r="F12" s="65">
        <f>Inputs!F22</f>
        <v>77.656999999999982</v>
      </c>
      <c r="G12" s="65">
        <f>Inputs!G22</f>
        <v>80.265999999999934</v>
      </c>
      <c r="H12" s="65">
        <f>Inputs!H22</f>
        <v>89.15300000000002</v>
      </c>
      <c r="I12" s="66">
        <f>Inputs!I22</f>
        <v>131.14800000000002</v>
      </c>
    </row>
    <row r="13" spans="2:10" x14ac:dyDescent="0.2">
      <c r="B13" s="59" t="str">
        <f>Inputs!B23</f>
        <v>Advertising fund liabilities</v>
      </c>
      <c r="C13" s="64">
        <f>Inputs!C23</f>
        <v>44.695</v>
      </c>
      <c r="D13" s="65">
        <f>Inputs!D23</f>
        <v>72.055000000000007</v>
      </c>
      <c r="E13" s="65">
        <f>Inputs!E23</f>
        <v>99.159000000000006</v>
      </c>
      <c r="F13" s="65">
        <f>Inputs!F23</f>
        <v>118.377</v>
      </c>
      <c r="G13" s="65">
        <f>Inputs!G23</f>
        <v>120.223</v>
      </c>
      <c r="H13" s="65">
        <f>Inputs!H23</f>
        <v>107.15</v>
      </c>
      <c r="I13" s="66">
        <f>Inputs!I23</f>
        <v>101.92100000000001</v>
      </c>
    </row>
    <row r="14" spans="2:10" x14ac:dyDescent="0.2">
      <c r="B14" s="60" t="str">
        <f>Inputs!B24</f>
        <v>Other accrued liabilities</v>
      </c>
      <c r="C14" s="64">
        <f>Inputs!C24</f>
        <v>34.231000000000002</v>
      </c>
      <c r="D14" s="65">
        <f>Inputs!D24</f>
        <v>35.716999999999999</v>
      </c>
      <c r="E14" s="65">
        <f>Inputs!E24</f>
        <v>39.509</v>
      </c>
      <c r="F14" s="65">
        <f>Inputs!F24</f>
        <v>57.267000000000003</v>
      </c>
      <c r="G14" s="65">
        <f>Inputs!G24</f>
        <v>58.578000000000003</v>
      </c>
      <c r="H14" s="65">
        <f>Inputs!H24</f>
        <v>55.000999999999998</v>
      </c>
      <c r="I14" s="66">
        <f>Inputs!I24</f>
        <v>66.266999999999996</v>
      </c>
    </row>
    <row r="15" spans="2:10" x14ac:dyDescent="0.2">
      <c r="B15" s="3" t="s">
        <v>18</v>
      </c>
      <c r="C15" s="67">
        <f>SUM(C11:C14)</f>
        <v>230.46699999999998</v>
      </c>
      <c r="D15" s="68">
        <f t="shared" ref="D15:I15" si="2">SUM(D11:D14)</f>
        <v>265.04300000000001</v>
      </c>
      <c r="E15" s="68">
        <f t="shared" si="2"/>
        <v>316.64999999999998</v>
      </c>
      <c r="F15" s="68">
        <f t="shared" si="2"/>
        <v>364.81099999999998</v>
      </c>
      <c r="G15" s="68">
        <f t="shared" si="2"/>
        <v>365.9609999999999</v>
      </c>
      <c r="H15" s="68">
        <f t="shared" si="2"/>
        <v>343.85</v>
      </c>
      <c r="I15" s="69">
        <f t="shared" si="2"/>
        <v>410.43700000000001</v>
      </c>
    </row>
    <row r="16" spans="2:10" x14ac:dyDescent="0.2">
      <c r="B16" s="3"/>
      <c r="C16" s="48"/>
      <c r="D16" s="49"/>
      <c r="E16" s="49"/>
      <c r="F16" s="49"/>
      <c r="G16" s="49"/>
      <c r="H16" s="49"/>
      <c r="I16" s="50"/>
    </row>
    <row r="17" spans="2:10" x14ac:dyDescent="0.2">
      <c r="B17" s="3" t="s">
        <v>3</v>
      </c>
      <c r="C17" s="53">
        <f t="shared" ref="C17:I17" si="3">C9-C15</f>
        <v>6.5714600000000019</v>
      </c>
      <c r="D17" s="54">
        <f t="shared" si="3"/>
        <v>41.528539999999964</v>
      </c>
      <c r="E17" s="54">
        <f t="shared" si="3"/>
        <v>15.928560000000061</v>
      </c>
      <c r="F17" s="54">
        <f t="shared" si="3"/>
        <v>11.203199999999981</v>
      </c>
      <c r="G17" s="54">
        <f t="shared" si="3"/>
        <v>42.048580000000072</v>
      </c>
      <c r="H17" s="54">
        <f t="shared" si="3"/>
        <v>99.326880000000074</v>
      </c>
      <c r="I17" s="55">
        <f t="shared" si="3"/>
        <v>49.671400000000062</v>
      </c>
    </row>
    <row r="22" spans="2:10" x14ac:dyDescent="0.2">
      <c r="C22" s="14">
        <v>2013</v>
      </c>
      <c r="D22" s="14">
        <f>C22+1</f>
        <v>2014</v>
      </c>
      <c r="E22" s="14">
        <f t="shared" ref="E22:I22" si="4">D22+1</f>
        <v>2015</v>
      </c>
      <c r="F22" s="14">
        <f t="shared" si="4"/>
        <v>2016</v>
      </c>
      <c r="G22" s="14">
        <f t="shared" si="4"/>
        <v>2017</v>
      </c>
      <c r="H22" s="14">
        <f t="shared" si="4"/>
        <v>2018</v>
      </c>
      <c r="I22" s="14">
        <f t="shared" si="4"/>
        <v>2019</v>
      </c>
    </row>
    <row r="23" spans="2:10" x14ac:dyDescent="0.2">
      <c r="B23" s="3" t="s">
        <v>3</v>
      </c>
      <c r="C23" s="71">
        <f>C17</f>
        <v>6.5714600000000019</v>
      </c>
      <c r="D23" s="72">
        <f t="shared" ref="D23:I23" si="5">D17</f>
        <v>41.528539999999964</v>
      </c>
      <c r="E23" s="72">
        <f t="shared" si="5"/>
        <v>15.928560000000061</v>
      </c>
      <c r="F23" s="72">
        <f t="shared" si="5"/>
        <v>11.203199999999981</v>
      </c>
      <c r="G23" s="72">
        <f t="shared" si="5"/>
        <v>42.048580000000072</v>
      </c>
      <c r="H23" s="72">
        <f t="shared" si="5"/>
        <v>99.326880000000074</v>
      </c>
      <c r="I23" s="73">
        <f t="shared" si="5"/>
        <v>49.671400000000062</v>
      </c>
    </row>
    <row r="24" spans="2:10" x14ac:dyDescent="0.2">
      <c r="B24" t="s">
        <v>21</v>
      </c>
      <c r="C24" s="74"/>
      <c r="D24" s="75">
        <f t="shared" ref="D24:I24" si="6">D23-C23</f>
        <v>34.957079999999962</v>
      </c>
      <c r="E24" s="75">
        <f t="shared" si="6"/>
        <v>-25.599979999999903</v>
      </c>
      <c r="F24" s="75">
        <f t="shared" si="6"/>
        <v>-4.7253600000000802</v>
      </c>
      <c r="G24" s="75">
        <f t="shared" si="6"/>
        <v>30.845380000000091</v>
      </c>
      <c r="H24" s="75">
        <f t="shared" si="6"/>
        <v>57.278300000000002</v>
      </c>
      <c r="I24" s="76">
        <f t="shared" si="6"/>
        <v>-49.655480000000011</v>
      </c>
      <c r="J24" s="3"/>
    </row>
    <row r="25" spans="2:10" x14ac:dyDescent="0.2">
      <c r="C25" s="77"/>
      <c r="D25" s="78"/>
      <c r="E25" s="78"/>
      <c r="F25" s="78"/>
      <c r="G25" s="78"/>
      <c r="H25" s="78"/>
      <c r="I25" s="79"/>
    </row>
    <row r="26" spans="2:10" x14ac:dyDescent="0.2">
      <c r="B26" s="140" t="s">
        <v>47</v>
      </c>
      <c r="C26" s="80">
        <f>Inputs!C5</f>
        <v>1802.223</v>
      </c>
      <c r="D26" s="81">
        <f>Inputs!D5</f>
        <v>1993.8269999999998</v>
      </c>
      <c r="E26" s="81">
        <f>Inputs!E5</f>
        <v>2216.5280000000002</v>
      </c>
      <c r="F26" s="81">
        <f>Inputs!F5</f>
        <v>2472.6099999999997</v>
      </c>
      <c r="G26" s="81">
        <f>Inputs!G5</f>
        <v>2787.9789999999998</v>
      </c>
      <c r="H26" s="81">
        <f>Inputs!H5</f>
        <v>3432.8440000000001</v>
      </c>
      <c r="I26" s="82">
        <f>Inputs!I5</f>
        <v>3618.77</v>
      </c>
    </row>
    <row r="27" spans="2:10" x14ac:dyDescent="0.2">
      <c r="B27" s="140" t="s">
        <v>63</v>
      </c>
      <c r="C27" s="74"/>
      <c r="D27" s="83">
        <f t="shared" ref="D27:I27" si="7">D26-C26</f>
        <v>191.60399999999981</v>
      </c>
      <c r="E27" s="83">
        <f t="shared" si="7"/>
        <v>222.70100000000048</v>
      </c>
      <c r="F27" s="83">
        <f t="shared" si="7"/>
        <v>256.08199999999943</v>
      </c>
      <c r="G27" s="83">
        <f t="shared" si="7"/>
        <v>315.36900000000014</v>
      </c>
      <c r="H27" s="83">
        <f t="shared" si="7"/>
        <v>644.86500000000024</v>
      </c>
      <c r="I27" s="84">
        <f t="shared" si="7"/>
        <v>185.92599999999993</v>
      </c>
    </row>
    <row r="28" spans="2:10" x14ac:dyDescent="0.2">
      <c r="C28" s="77"/>
      <c r="D28" s="78"/>
      <c r="E28" s="78"/>
      <c r="F28" s="78"/>
      <c r="G28" s="78"/>
      <c r="H28" s="78"/>
      <c r="I28" s="79"/>
    </row>
    <row r="29" spans="2:10" x14ac:dyDescent="0.2">
      <c r="B29" t="s">
        <v>22</v>
      </c>
      <c r="C29" s="74"/>
      <c r="D29" s="85">
        <f t="shared" ref="D29:I29" si="8">D24/D27</f>
        <v>0.18244441660925656</v>
      </c>
      <c r="E29" s="85">
        <f t="shared" si="8"/>
        <v>-0.11495224538731236</v>
      </c>
      <c r="F29" s="85">
        <f t="shared" si="8"/>
        <v>-1.8452526924969702E-2</v>
      </c>
      <c r="G29" s="85">
        <f t="shared" si="8"/>
        <v>9.7807267042734305E-2</v>
      </c>
      <c r="H29" s="85">
        <f t="shared" si="8"/>
        <v>8.8822156575407221E-2</v>
      </c>
      <c r="I29" s="86">
        <f t="shared" si="8"/>
        <v>-0.26707120037003984</v>
      </c>
    </row>
    <row r="30" spans="2:10" x14ac:dyDescent="0.2">
      <c r="C30" s="77"/>
      <c r="D30" s="78"/>
      <c r="E30" s="78"/>
      <c r="F30" s="78"/>
      <c r="G30" s="78"/>
      <c r="H30" s="78"/>
      <c r="I30" s="79"/>
    </row>
    <row r="31" spans="2:10" x14ac:dyDescent="0.2">
      <c r="B31" t="s">
        <v>23</v>
      </c>
      <c r="C31" s="74"/>
      <c r="D31" s="87"/>
      <c r="E31" s="87"/>
      <c r="F31" s="87"/>
      <c r="G31" s="87"/>
      <c r="H31" s="87"/>
      <c r="I31" s="86">
        <f>(I23-D23)/(I26-D26)</f>
        <v>5.0111665455342723E-3</v>
      </c>
    </row>
    <row r="32" spans="2:10" x14ac:dyDescent="0.2">
      <c r="B32" s="104" t="s">
        <v>74</v>
      </c>
    </row>
  </sheetData>
  <phoneticPr fontId="0" type="noConversion"/>
  <pageMargins left="0.75" right="0.75" top="1" bottom="1" header="0.5" footer="0.5"/>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H22"/>
  <sheetViews>
    <sheetView showGridLines="0" workbookViewId="0">
      <selection activeCell="B33" sqref="B33"/>
    </sheetView>
  </sheetViews>
  <sheetFormatPr defaultRowHeight="12.75" x14ac:dyDescent="0.2"/>
  <cols>
    <col min="2" max="2" width="77.140625" customWidth="1"/>
    <col min="3" max="3" width="10" customWidth="1"/>
  </cols>
  <sheetData>
    <row r="2" spans="2:2" x14ac:dyDescent="0.2">
      <c r="B2" s="97" t="s">
        <v>65</v>
      </c>
    </row>
    <row r="3" spans="2:2" x14ac:dyDescent="0.2">
      <c r="B3" s="96"/>
    </row>
    <row r="4" spans="2:2" ht="51" x14ac:dyDescent="0.2">
      <c r="B4" s="105" t="s">
        <v>64</v>
      </c>
    </row>
    <row r="5" spans="2:2" x14ac:dyDescent="0.2">
      <c r="B5" s="96"/>
    </row>
    <row r="6" spans="2:2" x14ac:dyDescent="0.2">
      <c r="B6" s="96" t="s">
        <v>40</v>
      </c>
    </row>
    <row r="7" spans="2:2" x14ac:dyDescent="0.2">
      <c r="B7" s="96"/>
    </row>
    <row r="8" spans="2:2" ht="38.25" x14ac:dyDescent="0.2">
      <c r="B8" s="96" t="s">
        <v>44</v>
      </c>
    </row>
    <row r="9" spans="2:2" x14ac:dyDescent="0.2">
      <c r="B9" s="96"/>
    </row>
    <row r="10" spans="2:2" ht="38.25" x14ac:dyDescent="0.2">
      <c r="B10" s="96" t="s">
        <v>45</v>
      </c>
    </row>
    <row r="11" spans="2:2" x14ac:dyDescent="0.2">
      <c r="B11" s="96"/>
    </row>
    <row r="12" spans="2:2" ht="38.25" x14ac:dyDescent="0.2">
      <c r="B12" s="96" t="s">
        <v>46</v>
      </c>
    </row>
    <row r="13" spans="2:2" x14ac:dyDescent="0.2">
      <c r="B13" s="96"/>
    </row>
    <row r="14" spans="2:2" x14ac:dyDescent="0.2">
      <c r="B14" s="96"/>
    </row>
    <row r="16" spans="2:2" x14ac:dyDescent="0.2">
      <c r="B16" s="88" t="s">
        <v>66</v>
      </c>
    </row>
    <row r="18" spans="2:8" x14ac:dyDescent="0.2">
      <c r="B18" s="3"/>
      <c r="C18" s="24">
        <v>2014</v>
      </c>
      <c r="D18" s="25">
        <f>C18+1</f>
        <v>2015</v>
      </c>
      <c r="E18" s="25">
        <f t="shared" ref="E18:H18" si="0">D18+1</f>
        <v>2016</v>
      </c>
      <c r="F18" s="25">
        <f t="shared" si="0"/>
        <v>2017</v>
      </c>
      <c r="G18" s="25">
        <f t="shared" si="0"/>
        <v>2018</v>
      </c>
      <c r="H18" s="25">
        <f t="shared" si="0"/>
        <v>2019</v>
      </c>
    </row>
    <row r="19" spans="2:8" x14ac:dyDescent="0.2">
      <c r="B19" s="36" t="s">
        <v>19</v>
      </c>
      <c r="C19" s="26">
        <f>360/(Inputs!D5/((Inputs!D14+Inputs!C14)/2))</f>
        <v>20.238124972728325</v>
      </c>
      <c r="D19" s="27">
        <f>360/(Inputs!E5/((Inputs!E14+Inputs!D14)/2))</f>
        <v>20.300154114904025</v>
      </c>
      <c r="E19" s="27">
        <f>360/(Inputs!F5/((Inputs!F14+Inputs!E14)/2))</f>
        <v>20.525347709505347</v>
      </c>
      <c r="F19" s="27">
        <f>360/(Inputs!G5/((Inputs!G14+Inputs!F14)/2))+0.03</f>
        <v>20.9513484032699</v>
      </c>
      <c r="G19" s="27">
        <f>360/(Inputs!H5/((Inputs!H14+Inputs!G14)/2))</f>
        <v>19.074050554001289</v>
      </c>
      <c r="H19" s="28">
        <f>360/(Inputs!I5/((Inputs!I14+Inputs!H14)/2))</f>
        <v>19.913722065784782</v>
      </c>
    </row>
    <row r="20" spans="2:8" x14ac:dyDescent="0.2">
      <c r="B20" s="36" t="s">
        <v>20</v>
      </c>
      <c r="C20" s="29">
        <f>360/(Inputs!D6/((Inputs!D15+Inputs!C15)/2))</f>
        <v>8.7825745121864074</v>
      </c>
      <c r="D20" s="8">
        <f>360/(Inputs!E6/((Inputs!E15+Inputs!D15)/2))</f>
        <v>8.7810747358810488</v>
      </c>
      <c r="E20" s="8">
        <f>360/(Inputs!F6/((Inputs!F15+Inputs!E15)/2))</f>
        <v>8.1339433397853238</v>
      </c>
      <c r="F20" s="8">
        <f>360/(Inputs!G6/((Inputs!G15+Inputs!F15)/2))-0.13</f>
        <v>7.3755411376137623</v>
      </c>
      <c r="G20" s="8">
        <f>360/(Inputs!H6/((Inputs!H15+Inputs!G15)/2))</f>
        <v>7.2615153506713002</v>
      </c>
      <c r="H20" s="30">
        <f>360/(Inputs!I6/((Inputs!I15+Inputs!H15)/2))</f>
        <v>8.0347425889996842</v>
      </c>
    </row>
    <row r="21" spans="2:8" x14ac:dyDescent="0.2">
      <c r="B21" s="70" t="s">
        <v>12</v>
      </c>
      <c r="C21" s="31">
        <f>360/(Inputs!D6/((Inputs!D21+Inputs!C21)/2))</f>
        <v>21.866056750768355</v>
      </c>
      <c r="D21" s="9">
        <f>360/(Inputs!E6/((Inputs!E21+Inputs!D21)/2))-0.2</f>
        <v>22.511764705882353</v>
      </c>
      <c r="E21" s="9">
        <f>360/(Inputs!F6/((Inputs!F21+Inputs!E21)/2))</f>
        <v>23.062150272743271</v>
      </c>
      <c r="F21" s="9">
        <f>360/(Inputs!G6/((Inputs!G21+Inputs!F21)/2))</f>
        <v>20.454196384160568</v>
      </c>
      <c r="G21" s="9">
        <f>360/(Inputs!H6/((Inputs!H21+Inputs!G21)/2))</f>
        <v>16.852502112477701</v>
      </c>
      <c r="H21" s="32">
        <f>360/(Inputs!I6/((Inputs!I21+Inputs!H21)/2))</f>
        <v>16.539484726796911</v>
      </c>
    </row>
    <row r="22" spans="2:8" x14ac:dyDescent="0.2">
      <c r="B22" s="3" t="s">
        <v>13</v>
      </c>
      <c r="C22" s="33">
        <f t="shared" ref="C22:H22" si="1">C19+C20-C21</f>
        <v>7.1546427341463783</v>
      </c>
      <c r="D22" s="34">
        <f t="shared" si="1"/>
        <v>6.5694641449027209</v>
      </c>
      <c r="E22" s="34">
        <f t="shared" si="1"/>
        <v>5.5971407765474019</v>
      </c>
      <c r="F22" s="34">
        <f t="shared" si="1"/>
        <v>7.8726931567230949</v>
      </c>
      <c r="G22" s="34">
        <f t="shared" si="1"/>
        <v>9.483063792194887</v>
      </c>
      <c r="H22" s="35">
        <f t="shared" si="1"/>
        <v>11.408979927987556</v>
      </c>
    </row>
  </sheetData>
  <phoneticPr fontId="0" type="noConversion"/>
  <pageMargins left="0.75" right="0.7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Inputs</vt:lpstr>
      <vt:lpstr>Tutorial 4</vt:lpstr>
      <vt:lpstr>Working Capital Analysis</vt:lpstr>
      <vt:lpstr>Cash Conversion Cycle</vt:lpstr>
      <vt:lpstr>'Cash Conversion Cycle'!Print_Area</vt:lpstr>
      <vt:lpstr>Inputs!Print_Area</vt:lpstr>
      <vt:lpstr>'Working Capital Analysis'!Print_Area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 Hiler</dc:creator>
  <cp:lastModifiedBy>Michael</cp:lastModifiedBy>
  <cp:lastPrinted>2001-07-30T22:03:41Z</cp:lastPrinted>
  <dcterms:created xsi:type="dcterms:W3CDTF">2001-07-20T06:00:51Z</dcterms:created>
  <dcterms:modified xsi:type="dcterms:W3CDTF">2021-07-17T14:21:19Z</dcterms:modified>
</cp:coreProperties>
</file>